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pivotTables/pivotTable1.xml" ContentType="application/vnd.openxmlformats-officedocument.spreadsheetml.pivotTable+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Marce\Downloads\"/>
    </mc:Choice>
  </mc:AlternateContent>
  <xr:revisionPtr revIDLastSave="0" documentId="13_ncr:1_{BAE37394-9FE3-42A7-90C2-1DDC919224A9}" xr6:coauthVersionLast="47" xr6:coauthVersionMax="47" xr10:uidLastSave="{00000000-0000-0000-0000-000000000000}"/>
  <bookViews>
    <workbookView xWindow="-120" yWindow="-120" windowWidth="20730" windowHeight="11040" xr2:uid="{00000000-000D-0000-FFFF-FFFF00000000}"/>
  </bookViews>
  <sheets>
    <sheet name="I. de Gestión" sheetId="1" r:id="rId1"/>
    <sheet name="Hoja11" sheetId="24" state="hidden" r:id="rId2"/>
    <sheet name="Inactivos" sheetId="10" state="hidden" r:id="rId3"/>
    <sheet name="I. de Meta" sheetId="3" state="hidden" r:id="rId4"/>
    <sheet name="PMR" sheetId="4" state="hidden" r:id="rId5"/>
    <sheet name="listados" sheetId="6" state="hidden" r:id="rId6"/>
    <sheet name="Datos" sheetId="29" r:id="rId7"/>
    <sheet name="Gráficas" sheetId="30" r:id="rId8"/>
    <sheet name="Hoja1" sheetId="31" r:id="rId9"/>
    <sheet name="I. de obje estratégicos" sheetId="2" r:id="rId10"/>
  </sheets>
  <definedNames>
    <definedName name="_xlnm._FilterDatabase" localSheetId="6" hidden="1">Datos!$A$2:$L$94</definedName>
    <definedName name="_xlnm._FilterDatabase" localSheetId="0" hidden="1">'I. de Gestión'!$A$4:$BB$96</definedName>
    <definedName name="_xlnm._FilterDatabase" localSheetId="9" hidden="1">'I. de obje estratégicos'!$A$2:$E$28</definedName>
    <definedName name="_xlnm._FilterDatabase" localSheetId="2" hidden="1">Inactivos!$B$9:$AW$97</definedName>
  </definedName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31" l="1"/>
  <c r="L31" i="31"/>
  <c r="E37" i="30"/>
  <c r="G43" i="31" l="1"/>
  <c r="H43" i="31"/>
  <c r="I43" i="31"/>
  <c r="F43" i="31"/>
  <c r="AV92" i="1"/>
  <c r="AV93" i="1"/>
  <c r="AV34" i="1"/>
  <c r="AO96" i="1"/>
  <c r="AN96" i="1"/>
  <c r="AV96" i="1" s="1"/>
  <c r="AV25" i="1"/>
  <c r="AV23" i="1"/>
  <c r="AV95" i="1"/>
  <c r="AV69" i="1"/>
  <c r="AV53" i="1"/>
  <c r="AV52" i="1"/>
  <c r="AV48" i="1"/>
  <c r="AV47" i="1"/>
  <c r="AV11" i="1"/>
  <c r="AV71" i="1"/>
  <c r="AV73" i="1"/>
  <c r="AV21" i="1"/>
  <c r="AT22" i="1"/>
  <c r="AV22" i="1"/>
  <c r="AV70" i="1"/>
  <c r="AV12" i="1"/>
  <c r="AO85" i="1"/>
  <c r="AN85" i="1"/>
  <c r="AV80" i="1"/>
  <c r="AV79" i="1"/>
  <c r="AV76" i="1"/>
  <c r="AV78" i="1"/>
  <c r="AV75" i="1"/>
  <c r="AN24" i="1"/>
  <c r="AO24" i="1"/>
  <c r="AV32" i="1"/>
  <c r="AV31" i="1"/>
  <c r="AV33" i="1"/>
  <c r="AV37" i="1"/>
  <c r="AV38" i="1"/>
  <c r="AV49" i="1"/>
  <c r="AV28" i="1"/>
  <c r="AV29" i="1"/>
  <c r="AV27" i="1"/>
  <c r="AY27" i="1" s="1"/>
  <c r="AV30" i="1"/>
  <c r="AV88" i="1"/>
  <c r="AV91" i="1"/>
  <c r="AV44" i="1"/>
  <c r="AV9" i="1"/>
  <c r="AV39" i="1"/>
  <c r="AV36" i="1"/>
  <c r="AM85" i="1"/>
  <c r="AV40" i="1"/>
  <c r="AV87" i="1"/>
  <c r="AV84" i="1"/>
  <c r="AK19" i="1"/>
  <c r="AV19" i="1"/>
  <c r="AV20" i="1"/>
  <c r="AV18" i="1"/>
  <c r="AV24" i="1" l="1"/>
  <c r="AU36" i="1"/>
  <c r="AV35" i="1"/>
  <c r="AV94" i="1"/>
  <c r="AV45" i="1"/>
  <c r="AV46" i="1"/>
  <c r="AV43" i="1"/>
  <c r="AV41" i="1"/>
  <c r="AU40" i="1"/>
  <c r="AV81" i="1"/>
  <c r="AV83" i="1"/>
  <c r="AV82" i="1"/>
  <c r="AV86" i="1"/>
  <c r="AV85" i="1"/>
  <c r="AV17" i="1"/>
  <c r="AQ17" i="1"/>
  <c r="AP17" i="1"/>
  <c r="AH80" i="1"/>
  <c r="E31" i="24"/>
  <c r="G27" i="24"/>
  <c r="G26" i="24"/>
  <c r="AU25" i="1"/>
  <c r="AU23" i="1"/>
  <c r="G28" i="24" l="1"/>
  <c r="AR17" i="1"/>
  <c r="AU20" i="1"/>
  <c r="AU91" i="1"/>
  <c r="AI82" i="1"/>
  <c r="AH85" i="1"/>
  <c r="AI9" i="1"/>
  <c r="AH9" i="1"/>
  <c r="AU9" i="1" s="1"/>
  <c r="AU29" i="1"/>
  <c r="AU30" i="1"/>
  <c r="AU28" i="1"/>
  <c r="AU80" i="1"/>
  <c r="AU21" i="1"/>
  <c r="AU17" i="1"/>
  <c r="AU39" i="1"/>
  <c r="AU11" i="1"/>
  <c r="AU71" i="1"/>
  <c r="AU69" i="1"/>
  <c r="AU53" i="1"/>
  <c r="AU52" i="1"/>
  <c r="AU49" i="1"/>
  <c r="AU48" i="1"/>
  <c r="AU47" i="1"/>
  <c r="AU38" i="1"/>
  <c r="AU37" i="1"/>
  <c r="AU33" i="1"/>
  <c r="AU32" i="1"/>
  <c r="AU31" i="1"/>
  <c r="AU79" i="1"/>
  <c r="AU75" i="1"/>
  <c r="AU76" i="1"/>
  <c r="AH78" i="1"/>
  <c r="AI78" i="1"/>
  <c r="AU27" i="1"/>
  <c r="AU24" i="1"/>
  <c r="AU84" i="1"/>
  <c r="AU19" i="1"/>
  <c r="AT19" i="1"/>
  <c r="AP19" i="1"/>
  <c r="AQ19" i="1"/>
  <c r="AU18" i="1"/>
  <c r="AT18" i="1"/>
  <c r="AE85" i="1"/>
  <c r="AE82" i="1"/>
  <c r="AU81" i="1"/>
  <c r="AU87" i="1"/>
  <c r="AU82" i="1"/>
  <c r="AU83" i="1"/>
  <c r="AU86" i="1"/>
  <c r="AU34" i="1"/>
  <c r="AU35" i="1"/>
  <c r="AT34" i="1"/>
  <c r="AU46" i="1"/>
  <c r="AU45" i="1"/>
  <c r="AU43" i="1"/>
  <c r="AU41" i="1"/>
  <c r="AU95" i="1"/>
  <c r="AU94" i="1"/>
  <c r="AU44" i="1"/>
  <c r="AT20" i="1"/>
  <c r="AT42" i="1"/>
  <c r="AT87" i="1"/>
  <c r="AT91" i="1"/>
  <c r="AT43" i="1"/>
  <c r="AS41" i="1"/>
  <c r="AT41" i="1"/>
  <c r="AT9" i="1"/>
  <c r="AT33" i="1"/>
  <c r="AS33" i="1"/>
  <c r="AT32" i="1"/>
  <c r="AB85" i="1"/>
  <c r="AT85" i="1" s="1"/>
  <c r="AT23" i="1"/>
  <c r="AT25" i="1"/>
  <c r="AT88" i="1"/>
  <c r="AT27" i="1"/>
  <c r="AB49" i="1"/>
  <c r="AT69" i="1"/>
  <c r="AT53" i="1"/>
  <c r="AT52" i="1"/>
  <c r="AT49" i="1"/>
  <c r="AT48" i="1"/>
  <c r="AT47" i="1"/>
  <c r="AT38" i="1"/>
  <c r="AT37" i="1"/>
  <c r="AT24" i="1"/>
  <c r="AT29" i="1"/>
  <c r="AT30" i="1"/>
  <c r="AT17" i="1"/>
  <c r="AT28" i="1"/>
  <c r="AT31" i="1"/>
  <c r="AB70" i="1"/>
  <c r="AT71" i="1"/>
  <c r="AT73" i="1"/>
  <c r="AT21" i="1"/>
  <c r="AQ39" i="1"/>
  <c r="AP39" i="1"/>
  <c r="AT39" i="1"/>
  <c r="AT76" i="1"/>
  <c r="AT78" i="1"/>
  <c r="AT79" i="1"/>
  <c r="AT80" i="1"/>
  <c r="AT75" i="1"/>
  <c r="AT11" i="1"/>
  <c r="AT12" i="1"/>
  <c r="AT40" i="1"/>
  <c r="AA5" i="1"/>
  <c r="Z5" i="1"/>
  <c r="AT5" i="1" s="1"/>
  <c r="AT82" i="1"/>
  <c r="AT83" i="1"/>
  <c r="Y5" i="1"/>
  <c r="AT86" i="1"/>
  <c r="AT84" i="1"/>
  <c r="AT81" i="1"/>
  <c r="AU85" i="1" l="1"/>
  <c r="AR39" i="1"/>
  <c r="AU78" i="1"/>
  <c r="AT50" i="1"/>
  <c r="AT95" i="1"/>
  <c r="AT94" i="1"/>
  <c r="AT44" i="1"/>
  <c r="AT45" i="1"/>
  <c r="AT46" i="1"/>
  <c r="AT36" i="1"/>
  <c r="AT35" i="1"/>
  <c r="AS18" i="1"/>
  <c r="AS34" i="1" l="1"/>
  <c r="AQ34" i="1"/>
  <c r="AP34" i="1"/>
  <c r="AS35" i="1"/>
  <c r="R36" i="1"/>
  <c r="AP36" i="1" s="1"/>
  <c r="AQ36" i="1"/>
  <c r="AS69" i="1"/>
  <c r="AS36" i="1" l="1"/>
  <c r="AR34" i="1"/>
  <c r="AR36" i="1"/>
  <c r="AS71" i="1" l="1"/>
  <c r="W9" i="1" l="1"/>
  <c r="V9" i="1"/>
  <c r="AS24" i="1" l="1"/>
  <c r="AS27" i="1" l="1"/>
  <c r="AS13" i="1"/>
  <c r="AS8" i="1"/>
  <c r="AS7" i="1"/>
  <c r="AS9" i="1"/>
  <c r="AS11" i="1"/>
  <c r="AS21" i="1"/>
  <c r="AS53" i="1"/>
  <c r="AS52" i="1"/>
  <c r="AS49" i="1"/>
  <c r="AS48" i="1"/>
  <c r="AS47" i="1"/>
  <c r="AS38" i="1"/>
  <c r="AS37" i="1"/>
  <c r="AS78" i="1"/>
  <c r="AS76" i="1"/>
  <c r="AS75" i="1"/>
  <c r="AS80" i="1"/>
  <c r="AS79" i="1"/>
  <c r="AS23" i="1"/>
  <c r="AS25" i="1"/>
  <c r="AS39" i="1"/>
  <c r="AS32" i="1"/>
  <c r="AS31" i="1"/>
  <c r="W5" i="1"/>
  <c r="V81" i="1"/>
  <c r="V10" i="1"/>
  <c r="AS29" i="1" l="1"/>
  <c r="AS30" i="1"/>
  <c r="AS17" i="1"/>
  <c r="AS28" i="1"/>
  <c r="AS91" i="1"/>
  <c r="AP42" i="1"/>
  <c r="AQ42" i="1"/>
  <c r="AP20" i="1"/>
  <c r="AQ20" i="1"/>
  <c r="AR42" i="1" l="1"/>
  <c r="AR19" i="1"/>
  <c r="AR20" i="1"/>
  <c r="AQ18" i="1"/>
  <c r="AP18" i="1"/>
  <c r="AS86" i="1"/>
  <c r="AQ10" i="1"/>
  <c r="AQ84" i="1"/>
  <c r="AP84" i="1"/>
  <c r="AQ81" i="1"/>
  <c r="AP81" i="1"/>
  <c r="AP5" i="1"/>
  <c r="AQ86" i="1"/>
  <c r="AP86" i="1"/>
  <c r="AQ83" i="1"/>
  <c r="AP83" i="1"/>
  <c r="AP87" i="1"/>
  <c r="AQ87" i="1"/>
  <c r="AQ82" i="1"/>
  <c r="AP82" i="1"/>
  <c r="AS50" i="1"/>
  <c r="AQ50" i="1"/>
  <c r="AP50" i="1"/>
  <c r="AS95" i="1"/>
  <c r="AQ95" i="1"/>
  <c r="AP95" i="1"/>
  <c r="AS94" i="1"/>
  <c r="AQ94" i="1"/>
  <c r="AP94" i="1"/>
  <c r="U5" i="1"/>
  <c r="U85" i="1"/>
  <c r="AQ85" i="1" s="1"/>
  <c r="T85" i="1"/>
  <c r="T10" i="1"/>
  <c r="AP41" i="1"/>
  <c r="AQ41" i="1"/>
  <c r="AP43" i="1"/>
  <c r="AQ43" i="1"/>
  <c r="AP44" i="1"/>
  <c r="AQ44" i="1"/>
  <c r="AP45" i="1"/>
  <c r="AQ45" i="1"/>
  <c r="AP46" i="1"/>
  <c r="AQ46" i="1"/>
  <c r="AQ40" i="1"/>
  <c r="AP40" i="1"/>
  <c r="AR18" i="1" l="1"/>
  <c r="AR50" i="1"/>
  <c r="AR94" i="1"/>
  <c r="AR95" i="1"/>
  <c r="AR40" i="1"/>
  <c r="AR41" i="1"/>
  <c r="AR43" i="1"/>
  <c r="AR46" i="1"/>
  <c r="AR45" i="1"/>
  <c r="AR44" i="1"/>
  <c r="AQ35" i="1"/>
  <c r="AP35" i="1"/>
  <c r="AR35" i="1" l="1"/>
  <c r="S5" i="1"/>
  <c r="AQ5" i="1" s="1"/>
  <c r="AS87" i="1"/>
  <c r="AS82" i="1"/>
  <c r="AS83" i="1"/>
  <c r="AS84" i="1"/>
  <c r="AS81" i="1"/>
  <c r="AS5" i="1" l="1"/>
  <c r="AR86" i="1"/>
  <c r="AR83" i="1"/>
  <c r="AR81" i="1"/>
  <c r="AR87" i="1"/>
  <c r="AR82" i="1"/>
  <c r="AR5" i="1"/>
  <c r="AR84" i="1"/>
  <c r="AS20" i="1" l="1"/>
  <c r="AS42" i="1"/>
  <c r="AS19" i="1"/>
  <c r="AS43" i="1" l="1"/>
  <c r="AS44" i="1"/>
  <c r="AS45" i="1"/>
  <c r="AS46" i="1"/>
  <c r="AS40" i="1"/>
  <c r="R10" i="1" l="1"/>
  <c r="AP10" i="1" l="1"/>
  <c r="AR10" i="1" s="1"/>
  <c r="AS10" i="1"/>
  <c r="R85" i="1"/>
  <c r="AP85" i="1" s="1"/>
  <c r="AR85" i="1" l="1"/>
  <c r="AS85" i="1"/>
  <c r="AP90" i="1" l="1"/>
  <c r="AQ90" i="1" l="1"/>
  <c r="AR90" i="1" l="1"/>
  <c r="B98" i="10" l="1"/>
  <c r="B93" i="10" l="1"/>
  <c r="B94" i="10" s="1"/>
  <c r="B95" i="10" s="1"/>
  <c r="B96" i="10" s="1"/>
  <c r="AS89" i="10" l="1"/>
  <c r="AR89" i="10"/>
  <c r="AS88" i="10"/>
  <c r="AR88" i="10"/>
  <c r="AS87" i="10"/>
  <c r="AR87" i="10"/>
  <c r="AS86" i="10"/>
  <c r="AR86" i="10"/>
  <c r="AS85" i="10"/>
  <c r="AR85" i="10"/>
  <c r="AS84" i="10"/>
  <c r="AR84" i="10"/>
  <c r="AS83" i="10"/>
  <c r="AR83" i="10"/>
  <c r="AS82" i="10"/>
  <c r="AR82" i="10"/>
  <c r="AS81" i="10"/>
  <c r="AR81" i="10"/>
  <c r="AS80" i="10"/>
  <c r="AR80" i="10"/>
  <c r="AS79" i="10"/>
  <c r="AR79" i="10"/>
  <c r="AS78" i="10"/>
  <c r="AR78" i="10"/>
  <c r="AS77" i="10"/>
  <c r="AR77" i="10"/>
  <c r="AS76" i="10"/>
  <c r="AR76" i="10"/>
  <c r="AS75" i="10"/>
  <c r="AR75" i="10"/>
  <c r="AS74" i="10"/>
  <c r="AR74" i="10"/>
  <c r="AS73" i="10"/>
  <c r="AR73" i="10"/>
  <c r="AS72" i="10"/>
  <c r="AR72" i="10"/>
  <c r="AS71" i="10"/>
  <c r="AR71" i="10"/>
  <c r="AS70" i="10"/>
  <c r="AR70" i="10"/>
  <c r="AS69" i="10"/>
  <c r="AR69" i="10"/>
  <c r="AS68" i="10"/>
  <c r="AR68" i="10"/>
  <c r="AS67" i="10"/>
  <c r="AR67" i="10"/>
  <c r="AS66" i="10"/>
  <c r="AR66" i="10"/>
  <c r="AS65" i="10"/>
  <c r="AR65" i="10"/>
  <c r="AS64" i="10"/>
  <c r="AR64" i="10"/>
  <c r="AS63" i="10"/>
  <c r="AR63" i="10"/>
  <c r="AS62" i="10"/>
  <c r="AR62" i="10"/>
  <c r="AS61" i="10"/>
  <c r="AR61" i="10"/>
  <c r="AS60" i="10"/>
  <c r="AR60" i="10"/>
  <c r="AS59" i="10"/>
  <c r="AR59" i="10"/>
  <c r="AS58" i="10"/>
  <c r="AR58" i="10"/>
  <c r="AS57" i="10"/>
  <c r="AR57" i="10"/>
  <c r="AS56" i="10"/>
  <c r="AR56" i="10"/>
  <c r="AS55" i="10"/>
  <c r="AR55" i="10"/>
  <c r="AS54" i="10"/>
  <c r="AR54" i="10"/>
  <c r="AS53" i="10"/>
  <c r="AR53" i="10"/>
  <c r="AS52" i="10"/>
  <c r="AR52" i="10"/>
  <c r="AS51" i="10"/>
  <c r="AR51" i="10"/>
  <c r="AS50" i="10"/>
  <c r="AR50" i="10"/>
  <c r="AS49" i="10"/>
  <c r="AR49" i="10"/>
  <c r="AS48" i="10"/>
  <c r="AR48" i="10"/>
  <c r="AS47" i="10"/>
  <c r="AR47" i="10"/>
  <c r="AS46" i="10"/>
  <c r="AR46" i="10"/>
  <c r="AS45" i="10"/>
  <c r="AR45" i="10"/>
  <c r="AS44" i="10"/>
  <c r="AR44" i="10"/>
  <c r="AS43" i="10"/>
  <c r="AR43" i="10"/>
  <c r="AS42" i="10"/>
  <c r="AR42" i="10"/>
  <c r="AS41" i="10"/>
  <c r="AR41" i="10"/>
  <c r="AS40" i="10"/>
  <c r="AR40" i="10"/>
  <c r="AS39" i="10"/>
  <c r="AR39" i="10"/>
  <c r="AS38" i="10"/>
  <c r="AR38" i="10"/>
  <c r="AS37" i="10"/>
  <c r="AR37" i="10"/>
  <c r="AS36" i="10"/>
  <c r="AR36" i="10"/>
  <c r="AS35" i="10"/>
  <c r="AR35" i="10"/>
  <c r="AS34" i="10"/>
  <c r="AR34" i="10"/>
  <c r="AS33" i="10"/>
  <c r="AR33" i="10"/>
  <c r="AS32" i="10"/>
  <c r="AR32" i="10"/>
  <c r="AS31" i="10"/>
  <c r="AR31" i="10"/>
  <c r="AS30" i="10"/>
  <c r="AR30" i="10"/>
  <c r="AS29" i="10"/>
  <c r="AR29" i="10"/>
  <c r="AS28" i="10"/>
  <c r="AR28" i="10"/>
  <c r="AS27" i="10"/>
  <c r="AR27" i="10"/>
  <c r="AS26" i="10"/>
  <c r="AR26" i="10"/>
  <c r="AS25" i="10"/>
  <c r="AR25" i="10"/>
  <c r="AS24" i="10"/>
  <c r="AR24" i="10"/>
  <c r="AS23" i="10"/>
  <c r="AR23" i="10"/>
  <c r="AS22" i="10"/>
  <c r="AR22" i="10"/>
  <c r="AS21" i="10"/>
  <c r="AR21" i="10"/>
  <c r="AS20" i="10"/>
  <c r="AR20" i="10"/>
  <c r="AS19" i="10"/>
  <c r="AR19" i="10"/>
  <c r="AS18" i="10"/>
  <c r="AR18" i="10"/>
  <c r="AS17" i="10"/>
  <c r="AR17" i="10"/>
  <c r="AS16" i="10"/>
  <c r="AR16" i="10"/>
  <c r="AS15" i="10"/>
  <c r="AR15" i="10"/>
  <c r="AS14" i="10"/>
  <c r="AR14" i="10"/>
  <c r="AS13" i="10"/>
  <c r="AR13" i="10"/>
  <c r="AS12" i="10"/>
  <c r="AR12" i="10"/>
  <c r="AS11" i="10"/>
  <c r="AR11" i="10"/>
  <c r="AS10" i="10"/>
  <c r="AR10" i="10"/>
  <c r="AT66" i="10" l="1"/>
  <c r="AT84" i="10"/>
  <c r="AT25" i="10"/>
  <c r="AT37" i="10"/>
  <c r="AT24" i="10"/>
  <c r="AT40" i="10"/>
  <c r="AT15" i="10"/>
  <c r="AT19" i="10"/>
  <c r="AT83" i="10"/>
  <c r="AT42" i="10"/>
  <c r="AT44" i="10"/>
  <c r="AT48" i="10"/>
  <c r="AT52" i="10"/>
  <c r="AT56" i="10"/>
  <c r="AT72" i="10"/>
  <c r="AT88" i="10"/>
  <c r="AT41" i="10"/>
  <c r="AT45" i="10"/>
  <c r="AT53" i="10"/>
  <c r="AT57" i="10"/>
  <c r="AT69" i="10"/>
  <c r="AT10" i="10"/>
  <c r="AT12" i="10"/>
  <c r="AT16" i="10"/>
  <c r="AT20" i="10"/>
  <c r="AT22" i="10"/>
  <c r="AT51" i="10"/>
  <c r="AT74" i="10"/>
  <c r="AT76" i="10"/>
  <c r="AT80" i="10"/>
  <c r="AT86" i="10"/>
  <c r="AT13" i="10"/>
  <c r="AT21" i="10"/>
  <c r="AT26" i="10"/>
  <c r="AT28" i="10"/>
  <c r="AT32" i="10"/>
  <c r="AT36" i="10"/>
  <c r="AT38" i="10"/>
  <c r="AT67" i="10"/>
  <c r="AT73" i="10"/>
  <c r="AT77" i="10"/>
  <c r="AT31" i="10"/>
  <c r="AT35" i="10"/>
  <c r="AT58" i="10"/>
  <c r="AT60" i="10"/>
  <c r="AT64" i="10"/>
  <c r="AT68" i="10"/>
  <c r="AT89" i="10"/>
  <c r="AT14" i="10"/>
  <c r="AT23" i="10"/>
  <c r="AT30" i="10"/>
  <c r="AT39" i="10"/>
  <c r="AT46" i="10"/>
  <c r="AT55" i="10"/>
  <c r="AT62" i="10"/>
  <c r="AT71" i="10"/>
  <c r="AT78" i="10"/>
  <c r="AT85" i="10"/>
  <c r="AT87" i="10"/>
  <c r="AT11" i="10"/>
  <c r="AT18" i="10"/>
  <c r="AT27" i="10"/>
  <c r="AT29" i="10"/>
  <c r="AT34" i="10"/>
  <c r="AT43" i="10"/>
  <c r="AT50" i="10"/>
  <c r="AT59" i="10"/>
  <c r="AT61" i="10"/>
  <c r="AT75" i="10"/>
  <c r="AT82" i="10"/>
  <c r="AT17" i="10"/>
  <c r="AT33" i="10"/>
  <c r="AT47" i="10"/>
  <c r="AT49" i="10"/>
  <c r="AT54" i="10"/>
  <c r="AT63" i="10"/>
  <c r="AT65" i="10"/>
  <c r="AT70" i="10"/>
  <c r="AT79" i="10"/>
  <c r="AT81"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tc={4C7A1683-E4DA-480D-87EE-AFC1B373CAED}</author>
    <author>Sandra Marcela Torres Avella</author>
  </authors>
  <commentList>
    <comment ref="P4" authorId="0" shapeId="0" xr:uid="{00000000-0006-0000-0000-000001000000}">
      <text>
        <r>
          <rPr>
            <b/>
            <sz val="9"/>
            <color indexed="81"/>
            <rFont val="Tahoma"/>
            <family val="2"/>
          </rPr>
          <t>Activo o inactivo</t>
        </r>
      </text>
    </comment>
    <comment ref="Q4" authorId="1" shapeId="0" xr:uid="{00000000-0006-0000-0000-000002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Verificar metas</t>
      </text>
    </comment>
    <comment ref="O59" authorId="2" shapeId="0" xr:uid="{00000000-0006-0000-0000-000003000000}">
      <text>
        <r>
          <rPr>
            <b/>
            <sz val="9"/>
            <color indexed="81"/>
            <rFont val="Tahoma"/>
            <family val="2"/>
          </rPr>
          <t>Sandra Marcela Torres Avella:</t>
        </r>
        <r>
          <rPr>
            <sz val="9"/>
            <color indexed="81"/>
            <rFont val="Tahoma"/>
            <family val="2"/>
          </rPr>
          <t xml:space="preserve">
Prueba afectación de procentaje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R8" authorId="0" shapeId="0" xr:uid="{00000000-0006-0000-0200-000001000000}">
      <text>
        <r>
          <rPr>
            <b/>
            <sz val="9"/>
            <color indexed="81"/>
            <rFont val="Tahoma"/>
            <family val="2"/>
          </rPr>
          <t>Activo o inactivo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I2" authorId="0" shapeId="0" xr:uid="{00000000-0006-0000-0600-000001000000}">
      <text>
        <r>
          <rPr>
            <b/>
            <sz val="9"/>
            <color indexed="81"/>
            <rFont val="Tahoma"/>
            <family val="2"/>
          </rPr>
          <t>Activo o inactivo</t>
        </r>
      </text>
    </comment>
  </commentList>
</comments>
</file>

<file path=xl/sharedStrings.xml><?xml version="1.0" encoding="utf-8"?>
<sst xmlns="http://schemas.openxmlformats.org/spreadsheetml/2006/main" count="4165" uniqueCount="1140">
  <si>
    <t>TABLERO DE CONTROL DE INDICADORES</t>
  </si>
  <si>
    <t>F-FI-1390
V.1</t>
  </si>
  <si>
    <t>Reporte</t>
  </si>
  <si>
    <t>Tipo de proceso</t>
  </si>
  <si>
    <t>Proceso</t>
  </si>
  <si>
    <t>Código</t>
  </si>
  <si>
    <t>Nombre del Indicador</t>
  </si>
  <si>
    <t>Objetivo del Indicador</t>
  </si>
  <si>
    <t xml:space="preserve">Dependencia </t>
  </si>
  <si>
    <t>Naturaleza</t>
  </si>
  <si>
    <t>Tendencia</t>
  </si>
  <si>
    <t>Tipo de cálculo</t>
  </si>
  <si>
    <t>Periodicidad</t>
  </si>
  <si>
    <t xml:space="preserve">VARIABLES </t>
  </si>
  <si>
    <t>Formula</t>
  </si>
  <si>
    <t>Estado</t>
  </si>
  <si>
    <t>Meta
Anual</t>
  </si>
  <si>
    <t>Enero</t>
  </si>
  <si>
    <t>Febrero</t>
  </si>
  <si>
    <t>Marzo</t>
  </si>
  <si>
    <t>Abril</t>
  </si>
  <si>
    <t>Mayo</t>
  </si>
  <si>
    <t>Junio</t>
  </si>
  <si>
    <t>Julio</t>
  </si>
  <si>
    <t>Agosto</t>
  </si>
  <si>
    <t>Septiembre</t>
  </si>
  <si>
    <t>Octubre</t>
  </si>
  <si>
    <t>Noviembre</t>
  </si>
  <si>
    <t>Diciembre</t>
  </si>
  <si>
    <t>Total Variable</t>
  </si>
  <si>
    <t xml:space="preserve"> Acumulado</t>
  </si>
  <si>
    <t>Trimestre
I</t>
  </si>
  <si>
    <t>Trimestre
II</t>
  </si>
  <si>
    <t>Trimestre
III</t>
  </si>
  <si>
    <t>Trimestre
IV</t>
  </si>
  <si>
    <t xml:space="preserve">Resultado Acumulado
</t>
  </si>
  <si>
    <t>Observaciones (OPA)</t>
  </si>
  <si>
    <t>Misional</t>
  </si>
  <si>
    <t>Gestión Integral a las Personas Privadas de la Libertad -PPL-</t>
  </si>
  <si>
    <t xml:space="preserve">Porcentaje mensual de alimentación suministrada   </t>
  </si>
  <si>
    <t xml:space="preserve"> Medir las raciones suministradas a las Personas Privadas de la Libertad en el mes.</t>
  </si>
  <si>
    <t>Cárcel Distrital de Varones y Anexo de Mujeres</t>
  </si>
  <si>
    <t xml:space="preserve">Eficacia </t>
  </si>
  <si>
    <t xml:space="preserve">Creciente </t>
  </si>
  <si>
    <t xml:space="preserve">Porcentaje </t>
  </si>
  <si>
    <t>Mensual</t>
  </si>
  <si>
    <t xml:space="preserve">Total de raciones pagadas al operador al mes.    </t>
  </si>
  <si>
    <t xml:space="preserve">Total de Personas Privadas de la Libertad que se encuentran en el establecimiento carcelario al mes. Novedades: Corresponde a las distintas situaciones en las que se puedan encontrar los PPL (remisiones) </t>
  </si>
  <si>
    <t>Días calendario del mes</t>
  </si>
  <si>
    <t>((A)/(B*C))*100</t>
  </si>
  <si>
    <t>Inactivo</t>
  </si>
  <si>
    <t>Julio: se inactiva a partir de julio</t>
  </si>
  <si>
    <t xml:space="preserve">AIB-1 - Atención Integral Básica a las personas privadas de la libertad    </t>
  </si>
  <si>
    <t>Gestión de Emergencias</t>
  </si>
  <si>
    <t>Tasa de faltas en calidad</t>
  </si>
  <si>
    <t xml:space="preserve">Determinar el nivel de calidad mensual de la recepción de llamadas mediante la medición del porcentaje de faltas graves y muy graves encontradas durante la ejecución de la Evaluación de la Calidad de la Operación de la Sala Unificada de Recepción. Se calcula como el porcentaje de evaluaciones con al menos un falta grave o muy grave respecto al total de evaluaciones realizadas.   </t>
  </si>
  <si>
    <t xml:space="preserve">Centro de Comando, Control, Comunicaciones y Computol_C4         </t>
  </si>
  <si>
    <t>Número de evaluaciones con al menos una falta grave o muy grave en monitoreo</t>
  </si>
  <si>
    <t>Número de evaluaciones realizadas</t>
  </si>
  <si>
    <t>(A/B)x100</t>
  </si>
  <si>
    <t xml:space="preserve">TJ-1 - Trámite Jurídico a la situación de personas privadas de la libertad </t>
  </si>
  <si>
    <t>Porcentaje de remisiones tramitadas</t>
  </si>
  <si>
    <t>ok</t>
  </si>
  <si>
    <t xml:space="preserve">Acceso y Fortalecimiento a la Justicia      </t>
  </si>
  <si>
    <t>AJ-1</t>
  </si>
  <si>
    <t>Actividades implementadas para la articulación de instituciones en el marco de los sistemas locales de Justicia</t>
  </si>
  <si>
    <t>Establecer el porcentaje de implementación en la articulación de los sistemas locales de Justicia.</t>
  </si>
  <si>
    <t>Subsecretaría de Acceso a la Justicia</t>
  </si>
  <si>
    <t>Númerico</t>
  </si>
  <si>
    <t>Trimestral</t>
  </si>
  <si>
    <t xml:space="preserve">Número de actividades ejecutadas </t>
  </si>
  <si>
    <t>A</t>
  </si>
  <si>
    <t>Activo</t>
  </si>
  <si>
    <t>En cumplimiento</t>
  </si>
  <si>
    <t>Diciembre: Se recomienda cargar las evidencias al portal MIPG</t>
  </si>
  <si>
    <t>AJ-2</t>
  </si>
  <si>
    <t>Implementación de actividades de sensibilización para la eliminación de las barreras culturales de acceso a la justicia</t>
  </si>
  <si>
    <t>Medir la implementación de actividades de sensibilización para la eliminación de las barreras culturales de acceso a la justicia a la población de Bogotá por medio por las charlas a los ciudadanos en temas de: mecanismos alternativos de solución de conflictos, rutas de acceso a la justicia, mecanismos de protección, y entre otros.</t>
  </si>
  <si>
    <t># de actividades de sensibilización ejecutadas a nivel local</t>
  </si>
  <si>
    <t>Diciembre: Sin observaciones</t>
  </si>
  <si>
    <t>AJ-3</t>
  </si>
  <si>
    <t>Nivel de satisfaccion de atención dada por CRI Y CRI VIRTUAL</t>
  </si>
  <si>
    <t>Medir los niveles de satisfacción de las atenciones dadas por los CRI presenciales y virtuales</t>
  </si>
  <si>
    <t>Efectividad</t>
  </si>
  <si>
    <t># de usuarios satisfechos</t>
  </si>
  <si>
    <t xml:space="preserve">#número de usuarios
 encuestados
</t>
  </si>
  <si>
    <t>A/B*100</t>
  </si>
  <si>
    <t xml:space="preserve">Porcentaje mensual de alimentación terapéutica suministrada       </t>
  </si>
  <si>
    <t xml:space="preserve"> Medir las raciones terapéuticas suministradas a las Personas Privadas de la Libertad en el mes.</t>
  </si>
  <si>
    <t>Decreciente</t>
  </si>
  <si>
    <t xml:space="preserve">Raciones alimenticias prescritas por parte del médico en atención a alguna patología o situación de cuidado especial </t>
  </si>
  <si>
    <t xml:space="preserve">Corresponde al total de raciones entregadas al mes a la población PPL </t>
  </si>
  <si>
    <t>Se solicita inacticación  a partir desegundo trimestre de la vigencia</t>
  </si>
  <si>
    <t>AJ-4</t>
  </si>
  <si>
    <t xml:space="preserve">Nivel de satisfacción de usuarios atendidos presencialmente en el programa Casa Libertad </t>
  </si>
  <si>
    <t>Evaluar el grado de satisfaccion de los usuarios del programa respecto de la atención primeria brindada de forma presencial en el equipamiento de Casa Libertad.</t>
  </si>
  <si>
    <t>Número de personas con calificación igual o mayor a 3 en la encuesta de satisfacción</t>
  </si>
  <si>
    <t>Número de personas encuestadas sobre nivel de satisfacción</t>
  </si>
  <si>
    <t>Diciembre: sin observaciones</t>
  </si>
  <si>
    <t>AJ-5</t>
  </si>
  <si>
    <t>Nivel de satisfacción de usuarios y autoridades sobre el Programa Distrital de Justicia Restaurativa, línea Principio de Oportunidad y el cumplimiento de objetivos de los adolescentes y jóvenes ofensores.</t>
  </si>
  <si>
    <t>Medir el nivel de satisfacción de usuarios y autoridades sobre el Programa Distrital de Justicia Restaurativa, línea Principio de Oportunidad y el cumplimiento de objetivos de los adolescentes y jóvenes ofensores.</t>
  </si>
  <si>
    <t>Semestral</t>
  </si>
  <si>
    <t>suma de los resultados de los instrumentos aplicados en el periodo t</t>
  </si>
  <si>
    <t># de instrumentos aplicados en el periodo t</t>
  </si>
  <si>
    <t>A/B</t>
  </si>
  <si>
    <t>AJ-6</t>
  </si>
  <si>
    <t>Jornadas de Justicia Móvil en el Distrito realizadas</t>
  </si>
  <si>
    <t>Medir el porcentaje de gestión, y ejecución de las Jornadas Móviles de Acceso a la Justicia realizadas por las Unidades Mòviles (vans)</t>
  </si>
  <si>
    <t>Eficacia</t>
  </si>
  <si>
    <t># de jornadas móviles de acceso a la Justicia realizadas</t>
  </si>
  <si>
    <t>Implementación del modelo de Atención Restaurativo implementado en el CTP</t>
  </si>
  <si>
    <t xml:space="preserve">Medir la implementación del Modelo de Atención Restaurativo en el Centro de Traslado por Protección.   </t>
  </si>
  <si>
    <t>Creciente</t>
  </si>
  <si>
    <t># de acciones implementadas en el periodo t</t>
  </si>
  <si>
    <t># de acciones planeadas en el periodo t</t>
  </si>
  <si>
    <t>AJ-7</t>
  </si>
  <si>
    <t xml:space="preserve"> Adolescentes y Jóvenes del Sistema de Responsabilidad Penal para Adolescentes vinculados a las rutas de atención del Programa Distrital de Justicia Juvenil Restaurativa.</t>
  </si>
  <si>
    <t>Vincular adolescentes y Jóvenes del Sistema de Responsabilidad Penal para Adolescentes a las rutas de atención del Programa Distrital de Justicia Juvenil Restaurativa</t>
  </si>
  <si>
    <t># de  Adolescentes y Jóvenes del Sistema de Responsabilidad Penal para Adolescentes vinculados a las rutas de atención del Programa Distrital de Justicia Juvenil Restaurativa en el periodo t</t>
  </si>
  <si>
    <t># de  Adolescentes y Jóvenes del Sistema de Responsabilidad Penal para Adolescentes programados a  vincular a las rutas de atención del Programa Distrital de Justicia Juvenil Restaurativa en el periodo t</t>
  </si>
  <si>
    <t>Se solicita eliminación dado que no depende de la subsecretría la programación de los adolecentes que ingresan a los programas</t>
  </si>
  <si>
    <t>Adolescentes y Jóvenes del Sistema de Responsabilidad Penal para Adolescentes vinculados a estrategias gestionadas por la Dirección de Responsabilidad Penal Adolescente y orientadas a fortalecer su atención integral.</t>
  </si>
  <si>
    <t xml:space="preserve">Vincular adolescentes y Jóvenes del Sistema de Responsabilidad Penal para Adolescentes a estrategias orientadas a fortalecer su atención integral                   </t>
  </si>
  <si>
    <t># de Adolescentes y Jóvenes del Sistema de Responsabilidad Penal para Adolescentes vinculados a estrategias</t>
  </si>
  <si>
    <t xml:space="preserve"># de Adolescentes y Jóvenes del Sistema de Responsabilidad Penal para Adolescentes programados a  vincular a las estrategias </t>
  </si>
  <si>
    <t>Administración de Bienes Muebles e Inmuebles para
el Fortalecimiento de las Capacidades Operativas</t>
  </si>
  <si>
    <t>AB-1</t>
  </si>
  <si>
    <t>Porcentaje de expedientes de contratos vigentes supervisados por la Dirección de Bienes, completos</t>
  </si>
  <si>
    <t>Medir la cantidad de expedientes de contratos vigentes supervisados por la Dirección de Bienes, que cuentan con la documentación que soporta la supervisión.</t>
  </si>
  <si>
    <t xml:space="preserve">Subsecretaría de Inversiones y Fortalecimiento de Capacidades Operativas         </t>
  </si>
  <si>
    <t># de expedientes revisados, completos</t>
  </si>
  <si>
    <t># total de expedientes revisados</t>
  </si>
  <si>
    <t>Diciembre: Se presenta baja ejecución en comparación del trimestre anterior.</t>
  </si>
  <si>
    <t>Reporte posterior</t>
  </si>
  <si>
    <t>Estratégico</t>
  </si>
  <si>
    <t xml:space="preserve">Atención y Relación con el Ciudadano </t>
  </si>
  <si>
    <t>AR-1</t>
  </si>
  <si>
    <t xml:space="preserve">Porcentaje de oportunidad en las respuestas a las Peticiones, Quejas, Reclamos y Sugerencias - PQRS.         </t>
  </si>
  <si>
    <t xml:space="preserve">Determinar el nivel de cumplimiento en los tiempos de entrega, de las respuestas a los requerimientos de los grupos de valor y partes involucradas,  con el fin de dar cumplimiento a los lineamientos normativos relacionados con el tramite de las peticiones.         </t>
  </si>
  <si>
    <t>Subsecretaría de Gestión Institucional</t>
  </si>
  <si>
    <t>Eficiencia</t>
  </si>
  <si>
    <t xml:space="preserve">Mensual </t>
  </si>
  <si>
    <t xml:space="preserve">Número de PQRS con respuestas dentro de los plazos legalmente establecidos   </t>
  </si>
  <si>
    <t>Número de PQRS recibidas</t>
  </si>
  <si>
    <t>Octubre,noviembre: se validan datos y análisis
Compromiso de fecha de reporte 20 de cada mes</t>
  </si>
  <si>
    <t>AR-3</t>
  </si>
  <si>
    <t>Nivel de cumplimiento de calidad en las respuestas de los requerimientos ciudadanos</t>
  </si>
  <si>
    <t>Medir el nivel de cumplimiento de los criterios de calidad en las respuestas emitidas a los requerimientos realizados por la ciudadanía, mediante la implementación de la metodología establecida en la entidad, para la toma de decisiones .</t>
  </si>
  <si>
    <t>Calidad</t>
  </si>
  <si>
    <t>Bimestral</t>
  </si>
  <si>
    <t>Número de respuestas a las PQRS de la ciudadanía que cumplen los criterios de calidad</t>
  </si>
  <si>
    <t>Número total de PQRS de la muestra</t>
  </si>
  <si>
    <t>Se valida dato de agosto
El indicador tiene periodicidad bimestral
Presenta sobre ejecución con corte a octubre, de acuerdo con la fecha solicitada de reporte</t>
  </si>
  <si>
    <t>AR-4</t>
  </si>
  <si>
    <t xml:space="preserve">	Grado de satisfacción de la ciudadanía frente a la atención recibida en los puntos de la SDSCJ.</t>
  </si>
  <si>
    <t>Medir el grado de satisfacción de la ciudadanía frente a la atención recibida en los puntos de la SDSCJ, como insumo para la toma de decisiones por parte de la Alta Dirección.</t>
  </si>
  <si>
    <t>Promedio de encuestas con las dos mayores calificaciones</t>
  </si>
  <si>
    <t>Total de encuestas realizadas</t>
  </si>
  <si>
    <t>Se valida dato de agosto, revisar si se debe incluir junio
El indicador tiene periodicidad bimestral</t>
  </si>
  <si>
    <t>De Evaluación</t>
  </si>
  <si>
    <t xml:space="preserve">Control Interno Disciplinario </t>
  </si>
  <si>
    <t>CID-1</t>
  </si>
  <si>
    <t>Quejas disciplinarias evaluadas por la Oficina de Control Disciplinario</t>
  </si>
  <si>
    <t xml:space="preserve">Evaluar las quejas disciplinarias que son reportadas a la Oficina de Control Disciplinario              </t>
  </si>
  <si>
    <t xml:space="preserve">Control Interno Disciplinario         </t>
  </si>
  <si>
    <t xml:space="preserve">Numero de quejas disciplinarias evaluadas    </t>
  </si>
  <si>
    <t xml:space="preserve">Numero de quejas disciplinarias recibidas    </t>
  </si>
  <si>
    <t>Diciembre:
Es impronta ten mencionar que los archivos y soportes cargados van en línea de cumplir con confidencialidad que esta oficina maneja en procesos disciplinarios. El hecho de mencionar un numero radico implicaría entregar información directa de la investigación disciplinaria.</t>
  </si>
  <si>
    <t>CID-2</t>
  </si>
  <si>
    <t>Expedientes disciplinarios impulsados en términos de ley</t>
  </si>
  <si>
    <t xml:space="preserve">Impulsar los expedientes  disciplinarios de conformidad a los términos de ley, en aras de acelerar las actuaciones administrativas de los diferentes procesos. </t>
  </si>
  <si>
    <t>No. De expedientes Disciplinarios impulsados en términos de ley</t>
  </si>
  <si>
    <t>No. De expedientes Disciplinarios en términos de ley para ser impulsados</t>
  </si>
  <si>
    <t>Diciembre: El indicador presenta sobre ejecución, se recomienda revisar la formulación del indicador o la prudencia del mismo</t>
  </si>
  <si>
    <t>Direccionamiento estratégico</t>
  </si>
  <si>
    <t>DE-1</t>
  </si>
  <si>
    <t>Nivel de cumplimiento del POA</t>
  </si>
  <si>
    <t xml:space="preserve">Medir el avance en el cumplimiento del Plan Operativo anual - POA.         </t>
  </si>
  <si>
    <t>Oficina Asesora de Planeación</t>
  </si>
  <si>
    <t>Avance en el cumplimiento de las metas de la entidad</t>
  </si>
  <si>
    <t>Ponderación de metas</t>
  </si>
  <si>
    <t>Septiembre: Se  valida dato y soporte</t>
  </si>
  <si>
    <t>Ok</t>
  </si>
  <si>
    <t>Evaluación al sistema de control interno</t>
  </si>
  <si>
    <t>SM-1</t>
  </si>
  <si>
    <t>Porcentaje de cumplimiento del Plan Anual de Auditoria</t>
  </si>
  <si>
    <t>Adelantar el monitoreo del avance porcentual de los seguimientos y auditorias programadas en el marco del Plan Anual de Auditoria con el fin de verificar su conformidad y de esta forma tomar las acciones a que hubiere lugar.</t>
  </si>
  <si>
    <t>Oficina de Control Interno</t>
  </si>
  <si>
    <t># informes de seguimientos y auditorias realizadas de acuerdo al Plan Anual de Auditoria.</t>
  </si>
  <si>
    <t># de seguimientos y auditorias programadas de acuerdo al Plan Anual de Auditoria.</t>
  </si>
  <si>
    <t>Fortalecimiento Institucional</t>
  </si>
  <si>
    <t>FI-1</t>
  </si>
  <si>
    <t xml:space="preserve">Nivel de aprendizaje de capacitados en temas ambientales         </t>
  </si>
  <si>
    <t xml:space="preserve">Medir el grado de aprendizaje de las personas que participan en las capacitaciones de temas ambientales, en todas las sedes de la Entidad.      </t>
  </si>
  <si>
    <t>numero de colaboradores con calificaciones entre 4 y 5</t>
  </si>
  <si>
    <t>total de colaboradores capacitados</t>
  </si>
  <si>
    <t xml:space="preserve">
Diciembre: Sin observaciones
Presenta sobre ejecución</t>
  </si>
  <si>
    <t xml:space="preserve"> Variación de agresiones físicas entre las Personas Privadas de la Libertad en el periodo.         </t>
  </si>
  <si>
    <t xml:space="preserve">Determinar la variación de las agresiones físicas entre Personas Privadas de la Libertad presentadas de un periodo a otro          </t>
  </si>
  <si>
    <t xml:space="preserve">Agresiones físicas presentadas en el periodo actual   </t>
  </si>
  <si>
    <t xml:space="preserve">Agresiones físicas presentadas en el periodo anterior   </t>
  </si>
  <si>
    <t>((A/B)-1)*100</t>
  </si>
  <si>
    <t>&lt;0%</t>
  </si>
  <si>
    <t>21/02/2023
Falta reporte
Se solicita inactivación 24702/2023</t>
  </si>
  <si>
    <t>De Apoyo</t>
  </si>
  <si>
    <t>Gestión Contractual</t>
  </si>
  <si>
    <t>GCT-1</t>
  </si>
  <si>
    <t xml:space="preserve">Porcentaje de solicitudes de contratación de prestación de servicios profesionales y de apoyo a la gestión devueltos.         </t>
  </si>
  <si>
    <t xml:space="preserve">Establecer a partir de las devoluciones el porcentaje de aceptación y asimilación de las áreas técnicas del procedimiento de contratación de prestación de servicios profesionales y de apoyo a la gestión de la Secretaría Distrital de Seguridad, Convivencia y Justicia.         </t>
  </si>
  <si>
    <t xml:space="preserve">Dirección Jurídica y Contractual         </t>
  </si>
  <si>
    <t>No. de solicitudes de contratación devueltos</t>
  </si>
  <si>
    <t xml:space="preserve">No. de solicitudes de contratación suscritas   </t>
  </si>
  <si>
    <t>&lt;20%</t>
  </si>
  <si>
    <t>En ejecución</t>
  </si>
  <si>
    <t>Diciembre: Se presenta alza en las devoluciones, se recomienda al proceso determinar las acciones necesarias para controlar y disminuir las devoluciones. De otra parte, se recomienda fortalecer el análisis del indicador.</t>
  </si>
  <si>
    <t>GCT-2</t>
  </si>
  <si>
    <t xml:space="preserve">Elaboración de Contratos     </t>
  </si>
  <si>
    <t xml:space="preserve">Verificar el cumplimiento en la elaboración de los contratos/convenios. </t>
  </si>
  <si>
    <t># Contratos elaborados</t>
  </si>
  <si>
    <t># Solicitudes de contratación</t>
  </si>
  <si>
    <t xml:space="preserve">Sin observaciones </t>
  </si>
  <si>
    <t>GCT-3</t>
  </si>
  <si>
    <t>Elaboración de modificaciones contractuales</t>
  </si>
  <si>
    <t xml:space="preserve">Verificar el cumplimiento en la elaboración de las modificaciones contractuales     </t>
  </si>
  <si>
    <t>#Modificaciones contractuales elaboradas</t>
  </si>
  <si>
    <t># Solicitudes de modificaciones contractuales</t>
  </si>
  <si>
    <t>GCT-4</t>
  </si>
  <si>
    <t xml:space="preserve">Porcentaje de procesos realizados         </t>
  </si>
  <si>
    <t xml:space="preserve">Verificar el porcentaje de los procesos realizados con base a los requerimientos llegados      </t>
  </si>
  <si>
    <t>#  Procesos realizados por la Dirección Técnica</t>
  </si>
  <si>
    <t># Requerimientos solicitados</t>
  </si>
  <si>
    <t>Gestión de Comunicaciones  Estratégicas</t>
  </si>
  <si>
    <t>GC-2</t>
  </si>
  <si>
    <t xml:space="preserve">Oportunidad en la entrega de piezas gráficas de comunicación efectivas    </t>
  </si>
  <si>
    <t xml:space="preserve">Diseñar y poner en marcha piezas gráficas de comunicación de acuerdo con la necesidad de los solicitantes                  </t>
  </si>
  <si>
    <t xml:space="preserve">Oficina Asesora de Comunicaciones           </t>
  </si>
  <si>
    <t>Días</t>
  </si>
  <si>
    <t>Sumatoria de piezas graficas de elaboradas en 5 o menos días</t>
  </si>
  <si>
    <t xml:space="preserve">Total de piezas solicitada </t>
  </si>
  <si>
    <t>(A/B)*100</t>
  </si>
  <si>
    <t>Diciembre: Se valida datos y soportes
Presenta sobre ejecución</t>
  </si>
  <si>
    <t>GC-3</t>
  </si>
  <si>
    <t>Nivel de cumplimiento  de acciones comunicativas internas</t>
  </si>
  <si>
    <t xml:space="preserve">Medir el nivel de cumplimiento  de acciones comunicativas internas solicitadas para publicar en el boletín interno           </t>
  </si>
  <si>
    <t xml:space="preserve">Número de acciones comunicativas publicadas </t>
  </si>
  <si>
    <t>Número de solicitudes comunicativas internas</t>
  </si>
  <si>
    <t>Diciembre: Se valida datos y soportes</t>
  </si>
  <si>
    <t>GC-1</t>
  </si>
  <si>
    <t xml:space="preserve"> Crecimiento digital de audiencia a través de los canales oficiales de la SSCJ    </t>
  </si>
  <si>
    <t xml:space="preserve"> Conocer el nivel crecimiento de audiencia digital a través de nuevos seguidores en los medios oficiales de comunicación de la SSCJ (Redes Sociales + Sección de Noticias)                </t>
  </si>
  <si>
    <t>Número total de seguidores en Canales Digitales para el periodo actual</t>
  </si>
  <si>
    <t>Número de seguidores en Canales digitales para el periodo anterior</t>
  </si>
  <si>
    <t>Diciembre: Se valida datos y soportes
Presenta sobrejecución</t>
  </si>
  <si>
    <t>GE-3</t>
  </si>
  <si>
    <t>Tasa de Calidad de la Operación SUR</t>
  </si>
  <si>
    <t>Medir el nivel de calidad de la gestión de los incidentes recibidos en la Sala Unificada de Recepción de la Línea 123 mediante la revisión y calificación de los criterios de evaluación definidos en el árbol de decisión vigente.</t>
  </si>
  <si>
    <t xml:space="preserve">Oficina Centro de Comando, Control, Comunicaciones y Cómputo -C4				</t>
  </si>
  <si>
    <t>Porcentaje</t>
  </si>
  <si>
    <t>Número total de evaluaciones óptimas</t>
  </si>
  <si>
    <t>Número total de evaluaciones realizadas</t>
  </si>
  <si>
    <t>Compromiso de reporte el 20 de cada mes</t>
  </si>
  <si>
    <t>GE-1</t>
  </si>
  <si>
    <t>Tasa de abandono de llamadas después de umbral</t>
  </si>
  <si>
    <t xml:space="preserve">Conocer el porcentaje de llamadas que no se atendieron mensualmente. Para la Línea de emergencias de Bogotá se definió mantener este indicador por debajo del 10%. Se calcula como el porcentaje de llamadas abandonadas luego de umbral respecto al total de llamadas que ingresaron al 123. El umbral mencionado es de 20 segundos, ya que luego de ese tiempo se considera que la llamada es un intento real de comunicación con la Línea 123.   </t>
  </si>
  <si>
    <t xml:space="preserve"> Número llamadas abandonadas después del umbral (20 segundos)</t>
  </si>
  <si>
    <t>Número llamadas recibidas</t>
  </si>
  <si>
    <t>&lt;8%</t>
  </si>
  <si>
    <t>Octubre, noviembre,diciembre: se validan datos y soportes</t>
  </si>
  <si>
    <t>GE-2</t>
  </si>
  <si>
    <t xml:space="preserve">Tasa de respuesta de llamadas antes de umbral         </t>
  </si>
  <si>
    <t>Medir la capacidad operativa mensual de la Sala Unificada de Recepción para responder llamadas dentro de los primeros veinte segundos. Se calcula como el porcentaje de llamadas respondidas antes del umbral de 20 segundos respecto al total de llamadas respondidas.</t>
  </si>
  <si>
    <t>Total de llamadas Ofrecidas</t>
  </si>
  <si>
    <t>Respondidas tras el Umbral</t>
  </si>
  <si>
    <t>[ (A-B) / A ] x 100</t>
  </si>
  <si>
    <t>Octubre, noviembre,diciembre: se validan datos y soportes. Se presenta sobre ejecución</t>
  </si>
  <si>
    <t>Gestión de Recursos Físicos al Servicio de la Entidad</t>
  </si>
  <si>
    <t>GRF-1</t>
  </si>
  <si>
    <t>Porcentaje de solicitudes atendidas de entrada de bienes</t>
  </si>
  <si>
    <t xml:space="preserve">Realizar seguimiento a la gestión de los requerimientos para la entrada de los bienes a la SSCJ durante el periodo, con el fin de garantizar la información contable del Almacén de la Entidad.         </t>
  </si>
  <si>
    <t>Dirección de Recursos Físicos y Gestión Documental</t>
  </si>
  <si>
    <t xml:space="preserve">Número de solicitudes atendidas para la entrada de bienes al almacén de la SSCJ durante el periodo   </t>
  </si>
  <si>
    <t xml:space="preserve">Total de solicitudes internas y externas recibidas formalmente y con documentación completa para la entrada de bienes a almacén durante el periodo.   </t>
  </si>
  <si>
    <t>Diciembre: Se validan datos y soportes, se remitieron observaciones. Se recomienda cargar los archivos al portal MIPG</t>
  </si>
  <si>
    <t>GRF-2</t>
  </si>
  <si>
    <t>Porcentaje de solicitudes atendidas de mantenimiento de la sede administrativa</t>
  </si>
  <si>
    <t xml:space="preserve">Realizar seguimiento a la gestión de los requerimientos de mantenimiento en la sede administrativa durante el periodo, con el fin de garantizar las condiciones físicas de las instalaciones de la sede administrativa de la Entidad.         														</t>
  </si>
  <si>
    <t xml:space="preserve">Número de solicitudes atendidas para el mantenimiento de la sede administrativa de la SSCJ durante el periodo 	</t>
  </si>
  <si>
    <t xml:space="preserve">Total de solicitudes recibidas de mantenimiento de la sede administrativa durante el periodo.	  </t>
  </si>
  <si>
    <t>Diciembre: Sin observaciones.Se recomienda cargar los archivos al portal MIPG</t>
  </si>
  <si>
    <t>Gestión de Seguridad y Convivencia</t>
  </si>
  <si>
    <t>GS-1</t>
  </si>
  <si>
    <t>Grado de implementación de las acciones contempladas en las estrategias para el fortalecimiento de los organismos de seguridad, la participación ciudadana, la consolidación de entornos protectores, la atención a población vulnerable y el logro de las garantías a la movilización social.</t>
  </si>
  <si>
    <t>Medir periódicamente el grado de implementación de las acciones planificadas por la Subsecretaría de Seguridad y Convivencia para el cumplimiento de sus objetivos misionales.</t>
  </si>
  <si>
    <t xml:space="preserve">Subsecretario/a de Seguridad y Convivencia         </t>
  </si>
  <si>
    <t xml:space="preserve">Trimestral  </t>
  </si>
  <si>
    <t xml:space="preserve">Sumatoria de los porcentajes promedio de cumplimiento por cada estrategia para el periodo verificado	</t>
  </si>
  <si>
    <t>Número de estrategias programadas para ser implementadas en el periodo</t>
  </si>
  <si>
    <t>Septiembre: Se recominda continuar con la formulaciónd del indicador de satisfación.</t>
  </si>
  <si>
    <t>Gestión de tecnologías de la información</t>
  </si>
  <si>
    <t>GT-1</t>
  </si>
  <si>
    <t>Porcentaje de servicios prestados por la Dirección de Tecnologías y Sistemas de la Información</t>
  </si>
  <si>
    <t>Medir la atención y cierre  de solicitudes de servicios de TIC</t>
  </si>
  <si>
    <t>Dirección de Tecnologías de la Información</t>
  </si>
  <si>
    <t xml:space="preserve">Numero de Servicios TIC atendidos y cerrados  en la Herramienta de Mesa de Servicio   </t>
  </si>
  <si>
    <t>Numero de Servicios TIC solicitados y registrados en la Herramienta de Mesa de Servicio</t>
  </si>
  <si>
    <t>Octubre, noviembre,diciembre: Se valida soporte y dato, se presenta leve sobre ejecución.</t>
  </si>
  <si>
    <t>GT-2</t>
  </si>
  <si>
    <t xml:space="preserve">Porcentaje de servicios atendidos a Satisfacción del usuario por la Dirección de Tecnologías y Sistemas de la Información         </t>
  </si>
  <si>
    <t xml:space="preserve">Medir la atención a Satisfacción del usuario de solicitudes de servicios de TIC   </t>
  </si>
  <si>
    <t>Número de encuestas diligenciadas en el periodo a satisfacción</t>
  </si>
  <si>
    <t xml:space="preserve">Total, de encuestas diligenciadas en el período </t>
  </si>
  <si>
    <t xml:space="preserve">Octubre, noviembre, diciembre: Se valida soporte y dato </t>
  </si>
  <si>
    <t>AR-2</t>
  </si>
  <si>
    <t>Porcentaje de peticiones, quejas, reclamos y sugerencias trasladadas a otra(s) entidad(es).</t>
  </si>
  <si>
    <t xml:space="preserve">Establecer el porcentaje de recordación y apropiación que tiene la ciudadanía respecto a los servicios que ofrece la Secretaría Distrital de Seguridad, Convivencia y Justicia a partir de los traslados de las peticiones, quejas, reclamos y sugerencias que ingresan a la Entidad por medio de los distintos canales de interacción.         </t>
  </si>
  <si>
    <t>Número de traslados de PQRSDF realizados dentro de los plazos legalmente establecidos en el BTE</t>
  </si>
  <si>
    <t>Número de traslados de PQRSDF realizados  en el BTE</t>
  </si>
  <si>
    <t xml:space="preserve">
Marzo y abril: se valida dato y soporte
Se debe reportar en el informe trimestral con corte a marzo
Mayo: Se valida dato y sopote se ajsuta soporte, junio se reporta en la fecha apctada 25 de julio, 
Junio: se validan datos y soportes.
10/08/2023
Se presenta análisis y datos de junio. Se inactiva indicador a parir de julio</t>
  </si>
  <si>
    <t>GT-3</t>
  </si>
  <si>
    <t xml:space="preserve">Porcentaje de incidentes cerrados por la Dirección de Tecnologías y Sistemas de la Información         </t>
  </si>
  <si>
    <t xml:space="preserve">Medir la atención y cierre de incidentes de solicitudes de servicios de TIC          </t>
  </si>
  <si>
    <t>Número de Incidentes Cerrados en la Herramienta de Mesa de Servicio</t>
  </si>
  <si>
    <t xml:space="preserve">Total  de incidentes registrados y atendidos en la Herramienta de Mesa de Servicio   </t>
  </si>
  <si>
    <t>GT-4</t>
  </si>
  <si>
    <t xml:space="preserve">Porcentaje de requerimientos cerrados por la Dirección de Tecnologías y Sistemas de la Información         </t>
  </si>
  <si>
    <t xml:space="preserve">Medir la atención y cierre de requerimientos de solicitudes de servicios de TIC          </t>
  </si>
  <si>
    <t xml:space="preserve">Número de requerimientos Cerrados en la Herramienta de Mesa de Servicio   </t>
  </si>
  <si>
    <t xml:space="preserve">Total  de requerimientos registrados y atendidos en la Herramienta de Mesa de Servicio   </t>
  </si>
  <si>
    <t>GT-5</t>
  </si>
  <si>
    <t xml:space="preserve">Porcentaje de Cambios aprobados por el Comité de Gestión de Cambios - CGC         </t>
  </si>
  <si>
    <t xml:space="preserve">Medir los  cambios aprobados por el Comité de Gestión de Cambios - CGC         </t>
  </si>
  <si>
    <t>Número de cambios aprobados por el CGC</t>
  </si>
  <si>
    <t>Total  Número de solicitudes de cambio presentadas en el CGC</t>
  </si>
  <si>
    <t xml:space="preserve">Octubre, noviembre: Se valida soporte y dato </t>
  </si>
  <si>
    <t>GT-6</t>
  </si>
  <si>
    <t xml:space="preserve">Porcentaje de Cambios exitosos aprobados por el Comité de Gestión de Cambios - CGC         </t>
  </si>
  <si>
    <t xml:space="preserve">Medir los  cambios exitosos aprobados por el Comité de Gestión de Cambios - CGC         </t>
  </si>
  <si>
    <t xml:space="preserve">Número de cambios exitosos </t>
  </si>
  <si>
    <t xml:space="preserve">Total  Número de cambios aprobados por el CGC en el CGC   </t>
  </si>
  <si>
    <t>Octubre: Se valida soporte y dato 
Noviembre: El indicador quedo por debajo de la meta establecida ya que nno fueron exitosos 2 y 1 no fue ejecutado
Diciembre: Se presenta leve sobrejecución</t>
  </si>
  <si>
    <t>Gestión Documental</t>
  </si>
  <si>
    <t>GDO-1</t>
  </si>
  <si>
    <t xml:space="preserve">Porcentaje de capacitaciones realizadas         </t>
  </si>
  <si>
    <t xml:space="preserve">Realizar seguimiento a la gestión de las  capacitaciones impartidas a los servidores y contratistas de la SSCJ durante el periodo, con el fin de enseñar la metodología de administración de archivos.         </t>
  </si>
  <si>
    <t>Capacitaciones realizadas en el periodo.</t>
  </si>
  <si>
    <t xml:space="preserve">Total de capacitaciones programadas en el plan de trabajo archivístico.   </t>
  </si>
  <si>
    <t>GDO-2</t>
  </si>
  <si>
    <t xml:space="preserve">Porcentaje de consulta y préstamo de expedientes del Archivo Central          </t>
  </si>
  <si>
    <t xml:space="preserve">Realizar seguimiento a la atención de consultas y préstamo documental durante el periodo, con el fin de  garantizar el acceso y consulta de los expedientes custodiados.         </t>
  </si>
  <si>
    <t xml:space="preserve">Número de solicitudes de expedientes atendidas en el periodo.   </t>
  </si>
  <si>
    <t xml:space="preserve">Total de solicitudes de consulta y préstamo de expedientes recibidas en el periodo.   </t>
  </si>
  <si>
    <t>Diciembre: Se validan datos y soportes.Se recomienda cargar los archivos al portal MIPG</t>
  </si>
  <si>
    <t>GDO-3</t>
  </si>
  <si>
    <t xml:space="preserve">Porcentaje de cumplimiento en la entrega de las comunicaciones oficiales de entrada radicadas         </t>
  </si>
  <si>
    <t xml:space="preserve">Medir el cumplimiento en la distribución de las comunicaciones oficiales de entrada en el tiempo previsto         </t>
  </si>
  <si>
    <t xml:space="preserve">Número de comunicaciones oficiales radicadas de entrada distribuidas en el periodo   </t>
  </si>
  <si>
    <t>Total de  comunicaciones de entrada radicadas.</t>
  </si>
  <si>
    <t>Gestión y Análisis de la Información</t>
  </si>
  <si>
    <t>GI-3</t>
  </si>
  <si>
    <t>Actualización Base de Datos Geográfica</t>
  </si>
  <si>
    <t>Validar el porcentaje de cumplimiento sobre la actualización de las fuentes de información en la Base de Datos Geográfica de la Secretaría de Seguridad, Convivencia y Justicia, con el fin de contar con la información actualizada para análisis, generación de estrategias y toma de decisiones.</t>
  </si>
  <si>
    <t>Oficina de Análisis de Información y Estudios Estratégicos</t>
  </si>
  <si>
    <t>Número de fuentes de información actualizadas DG</t>
  </si>
  <si>
    <t>Total fuentes de información  DG</t>
  </si>
  <si>
    <t>Se recomienda fortalecer evidencias, teniendo en cuenta que es la programación de actualización de bodega de datos. Revisar si se puede dejar como indicador simple. Fortalecer análisis
Junio:se validan datos y soportes
A partir del mes de julio se inactia indicador, dada su contante cumplimiento en las últimas vigencias</t>
  </si>
  <si>
    <t xml:space="preserve">Porcentaje de Implementación Arquitectura Empresarial  en las dependencias de la SDSCJ         </t>
  </si>
  <si>
    <t xml:space="preserve">Medir el numero de dependencias incluidas en el ejercicio de Arquitectura Empresarial  para alinear los procesos de  negocio de la entidad con la infraestructura TI,  reducir riesgos asociados a los servicios TI y generar valor.         </t>
  </si>
  <si>
    <t xml:space="preserve">Director de Tecnología y Sistemas de Información         </t>
  </si>
  <si>
    <t>Estable</t>
  </si>
  <si>
    <t xml:space="preserve">Numero de dependencias incluidas en el ejercicio de Arquitectura Empresarial   </t>
  </si>
  <si>
    <t>Numero de dependencias  de Arquitectura Empresarial seleccionadas</t>
  </si>
  <si>
    <t>GDO-4</t>
  </si>
  <si>
    <t xml:space="preserve">Porcentaje de avance del Plan de Preservación Digital a Largo Plazo del Sistema Integrado de Conservación       </t>
  </si>
  <si>
    <t>Medir el porcentaje de ejecución y cumplimiento de las estrategias del Plan de Preservación Digital a Largo Plazo del Sistema Integrado de Conservación</t>
  </si>
  <si>
    <t xml:space="preserve">Número de actividades ejecutadas para el cumplimiento de las estratégias del programa en el periodo	</t>
  </si>
  <si>
    <t xml:space="preserve">Actividades planeadas en el cronograma/plan de trabajo para el periodo.	</t>
  </si>
  <si>
    <t>GDO-5</t>
  </si>
  <si>
    <t xml:space="preserve">Porcentaje de avance del Plan de Conservación Documental del Sistema Integrado de Conservación </t>
  </si>
  <si>
    <t>Medir el porcentaje de ejecución y cumplimiento de los programas del Plan de Conservación Documental del Sistema Integrado de Conservación</t>
  </si>
  <si>
    <t xml:space="preserve">Número de actividades ejecutadas en el periodo.   </t>
  </si>
  <si>
    <t xml:space="preserve">Total de actividades programadas en el periodo.   </t>
  </si>
  <si>
    <t>Gestión Estratégica del Talento Humano</t>
  </si>
  <si>
    <t>Cobertura con las actividades del Programa "Talento Humano en una Organización Saludable"</t>
  </si>
  <si>
    <t>Medir la participación de las personas de la Secretaría en las actividades del Programa "Talento Humano en una Organización Saludable"</t>
  </si>
  <si>
    <t>Dirección de Gestión Humana</t>
  </si>
  <si>
    <t>Total de personas que participaron en al menos una (1) actividad</t>
  </si>
  <si>
    <t xml:space="preserve"> Total de personas de planta y contrato</t>
  </si>
  <si>
    <t>(A / B) *100</t>
  </si>
  <si>
    <t>Satisfacción con las actividades del módulo Secretaría en Familia</t>
  </si>
  <si>
    <t>Medir el nivel de satisfacción de las actividades del módulo de Secretaría en Familia</t>
  </si>
  <si>
    <t>Número de Servidores satisfechos</t>
  </si>
  <si>
    <t>Total de Servidores encuestados</t>
  </si>
  <si>
    <t>Satisfacción con las actividades del módulo Bienestar, Incentivos, Estímulos y Reconocimientos</t>
  </si>
  <si>
    <t>Medir el nivel de satisfacción de las actividades del módulo de Bienestar, Incentivos, Estímulos y Reconocimientos</t>
  </si>
  <si>
    <t>Satisfacción con las actividades del módulo Formación y Capacitación</t>
  </si>
  <si>
    <t>Medir el nivel de satisfacción de las actividades del módulo de Formación y Capacitación</t>
  </si>
  <si>
    <t>Satisfacción con las actividades del módulo Secretaría Sostenible</t>
  </si>
  <si>
    <t>Medir el nivel de satisfacción de las actividades del módulo de Secretaría Sostenible</t>
  </si>
  <si>
    <t xml:space="preserve">Impacto de la actividades de bienestar         </t>
  </si>
  <si>
    <t>Conocer el impacto que tienen las actividades de bienestar realizadas en la entidad (aplica para actividades previamente seleccionadas)</t>
  </si>
  <si>
    <t xml:space="preserve">Evaluación POST
</t>
  </si>
  <si>
    <t>Evaluación PRE</t>
  </si>
  <si>
    <t>Frecuencia de accidentalidad</t>
  </si>
  <si>
    <t>Medir el número de accidentes de trabajo ocurridos por mes en los servidores públicos y contratistas de la Entidad</t>
  </si>
  <si>
    <t>Número de Accidentes de Trabajo que se presentaron en el mes</t>
  </si>
  <si>
    <t>Número de trabajadores en el mes</t>
  </si>
  <si>
    <t>&lt;3%</t>
  </si>
  <si>
    <t>Se  inactiva a partir de enero 2023</t>
  </si>
  <si>
    <t>Incidencia de Enfermedad Laboral</t>
  </si>
  <si>
    <t>Medir el número de casos nuevos de enfermedad laboral en los servidores públicos de planta en el periodo evaluado</t>
  </si>
  <si>
    <t xml:space="preserve">Número de casos nuevos de enfermedad laboral en el periodo	</t>
  </si>
  <si>
    <t xml:space="preserve">Promedio total de trabajadores en el periodo	</t>
  </si>
  <si>
    <t>Ausentismo por causa médica</t>
  </si>
  <si>
    <t>Medir el número de días no asistidos por incapacidad laboral o común en el periodo evaluado de los servidores públicos de planta</t>
  </si>
  <si>
    <t xml:space="preserve">Número de días de ausencia por incapacidad laboral o común en el mes	</t>
  </si>
  <si>
    <t>Número de días de trabajo programados en el mes</t>
  </si>
  <si>
    <t>Número de trabajadores activos en el mes</t>
  </si>
  <si>
    <t>(A/(B*C))x100</t>
  </si>
  <si>
    <t>Cumplimiento de actividades del módulo Seguridad y Salud en el Trabajo</t>
  </si>
  <si>
    <t>Medir el cumplimiento de las actividades del módulo de Seguridad y Salud en el Trabajo (Plan de SST)</t>
  </si>
  <si>
    <t>Actividades Ejecutadas</t>
  </si>
  <si>
    <t>Actividades planeadas</t>
  </si>
  <si>
    <t>Cumplimiento de actividades del módulo Hábitos Saludables</t>
  </si>
  <si>
    <t>Medir el cumplimiento de las actividades del módulo de Hábitos Saludables</t>
  </si>
  <si>
    <t>Cumplimiento de actividades del módulo Secretaría en Familia</t>
  </si>
  <si>
    <t>Medir el cumplimiento de las actividades del módulo de Secretaría en Familia</t>
  </si>
  <si>
    <t>Cumplimiento de actividades del módulo Bienestar, Incentivos, Estímulos y Reconocimientos</t>
  </si>
  <si>
    <t>Medir el cumplimiento de las actividades del módulo de Bienestar, Incentivos, Estímulos y Reconocimientos</t>
  </si>
  <si>
    <t>Cumplimiento de actividades del módulo Formación y Capacitación</t>
  </si>
  <si>
    <t>Medir el cumplimiento de las actividades del módulo de Formación y Capacitación</t>
  </si>
  <si>
    <t>Cumplimiento de actividades del módulo Secretaría Sostenible</t>
  </si>
  <si>
    <t>Medir el cumplimiento de las actividades del módulo de Secretaría Sostenible</t>
  </si>
  <si>
    <t>GDO-6</t>
  </si>
  <si>
    <t xml:space="preserve">Porcentaje de avance en la implementación del Plan Institucional de Archivos PINAR				</t>
  </si>
  <si>
    <t xml:space="preserve">Medir el porcentaje de cumplimiento de las actividades propuestas en la implementación del Plan Institucional de Archivos PINAR, de acuerdo al cronograma previsto.   </t>
  </si>
  <si>
    <t xml:space="preserve">Número de actividades ejecutadas en el periodo	</t>
  </si>
  <si>
    <t>GH-3</t>
  </si>
  <si>
    <t xml:space="preserve">	Eficacia del Plan Estrategico de Talento Humano</t>
  </si>
  <si>
    <t>Medir el cumplimiento de las actividades del Plan Estrategico de Talento Humano</t>
  </si>
  <si>
    <t>Total de  actividades ejecutadas   dentro de la Secretaría durante la implementación del Plan Estrategico del Talento Humano en la vigencia</t>
  </si>
  <si>
    <t>Los idnicadores del SST se cuentran a cargo del proceso y la dirección de gestión humana, en el marco del SGC se cuantan con indicadores de gestión por proceso.
Diciembre:Se validan datos y soportes</t>
  </si>
  <si>
    <t>GH-1</t>
  </si>
  <si>
    <t xml:space="preserve">Satisfacción con las actividades del módulo Seguridad y Salud en el Trabajo        </t>
  </si>
  <si>
    <t xml:space="preserve">Conocer el grado de satisfacción de los servidores, respecto a las actividades realizadas por Gestión Humana en el área de Seguridad  y salud en el trabajo   </t>
  </si>
  <si>
    <t>Diciembre:Se validan datos y soportes</t>
  </si>
  <si>
    <t>Satisfacción con las actividades del módulo Hábitos Saludables</t>
  </si>
  <si>
    <t>Medir el nivel de satisfacción de las actividades del módulo de Hábitos Saludables</t>
  </si>
  <si>
    <t xml:space="preserve">Número de Servidores satisfechos   </t>
  </si>
  <si>
    <t xml:space="preserve">Total de Servidores encuestados   </t>
  </si>
  <si>
    <t>GH-2</t>
  </si>
  <si>
    <t xml:space="preserve">	Nivel adquirido de conocimiento en las capacitaciones</t>
  </si>
  <si>
    <t>Medir el nivel adquirido de conocimiento en las capacitaciones mediante el desarrollo de las actividades del Plan Institucional de Capacitación, para evaluar el impacto generado de las mismas.</t>
  </si>
  <si>
    <t>Promedio grupal de la evaluación final</t>
  </si>
  <si>
    <t>Promedio grupal de la evaluación inicial</t>
  </si>
  <si>
    <t>A-B</t>
  </si>
  <si>
    <t>Diciembre:Se validan datos y soportes. Se presenta sobrejecución.</t>
  </si>
  <si>
    <t>Cumplimiento en la elaboración de Policy Brief</t>
  </si>
  <si>
    <t>Validar el porcentaje de policy brief elaborados por la Oficina de Análisis de Información y Estudios Estratégicos, de acuerdo con los requerimientos y necesidades de la Secretaría de Seguridad Convivencia y Justicia, que sirven como base para la toma de desciciones, generación de estrategias de política pública y apoyo a la gestión operativa y misional de la Secretaría.</t>
  </si>
  <si>
    <t xml:space="preserve">Número de Policy Brief generados en el periodo </t>
  </si>
  <si>
    <t xml:space="preserve">Número de Policy Brief programados para el periodo </t>
  </si>
  <si>
    <t>Se recomienda fortalecer evidencias, teniendo en cuenta que es la programación de actualización de bodega de datos. Revisar si se peude dejar como indicador simple.
Se solicita inactivación febrero 2023</t>
  </si>
  <si>
    <t>Gestión Financiera</t>
  </si>
  <si>
    <t>GF-1</t>
  </si>
  <si>
    <t xml:space="preserve">Porcentaje de Conciliaciones Contables Realizadas         </t>
  </si>
  <si>
    <t xml:space="preserve">Gestionar el seguimiento a los estados financieros, mediante las conciliaciones programadas en el periodo, con el fin de garantizar la veracidad de la información contable.         </t>
  </si>
  <si>
    <t>Dirección Financiero</t>
  </si>
  <si>
    <t>Número de conciliaciones contables realizadas</t>
  </si>
  <si>
    <t>Número de conciliaciones programadas</t>
  </si>
  <si>
    <t>Diciembre: Se evidencia en las carpetas tres conciliaciones con los soportes correspondientes.</t>
  </si>
  <si>
    <t>GF-2</t>
  </si>
  <si>
    <t>Porcentaje de seguimientos a la ejecución del PAC</t>
  </si>
  <si>
    <t xml:space="preserve">Gestionar la ejecución apropiada de la programación del Plan Anualizado de Caja (PAC), mediante los seguimientos programados en los periodos establecidos para garantizar un seguimiento y acompañamiento a la Programación y ejecución hecha por las áreas. </t>
  </si>
  <si>
    <t xml:space="preserve">Número de reuniones de seguimiento al PAC realizados </t>
  </si>
  <si>
    <t xml:space="preserve">Reuniones de seguimiento al PAC programadas </t>
  </si>
  <si>
    <t>Diciembre: Por el formato la fecha del acta de diciembre es borrosa</t>
  </si>
  <si>
    <t>Impacto de la intervención asociada al programa de vigilancia epidemiológica de riesgo biomecánico</t>
  </si>
  <si>
    <t>Medir el impacto que el programa de vigilancia epidemiológica de riesgo biomecánico generó en los servidores</t>
  </si>
  <si>
    <t xml:space="preserve">personas que se incapacitan por aspectos osteomusculares para 2020 </t>
  </si>
  <si>
    <t xml:space="preserve">personas que se incapacitan por aspectos osteomusculares para 2019 </t>
  </si>
  <si>
    <t>GF-3</t>
  </si>
  <si>
    <t>Oportunidad en el Trámite de Cuentas</t>
  </si>
  <si>
    <t>Medir el tiempo de gestión de las cuentas presentadas por los contratistas de prestación de servicios.</t>
  </si>
  <si>
    <t>Número de cuentas de Contratos de Prestación de Servicios, gestionadas ante la SHD en 6 días o menos</t>
  </si>
  <si>
    <t>Total de cuentas de  CPS  radicadas correctamente</t>
  </si>
  <si>
    <t>GF-4</t>
  </si>
  <si>
    <t>Oportunidad en la expedición y firma de CDP's</t>
  </si>
  <si>
    <t>Medir el numero de solicitudes de CDP atendidas oportunamente.</t>
  </si>
  <si>
    <t xml:space="preserve"> CDP'S  expedidos en 3 días habiles</t>
  </si>
  <si>
    <t xml:space="preserve">Total solicitudes  CDP'S </t>
  </si>
  <si>
    <t>Diciembre, revisar reporte numerico, reportan el total del año y es el del trimestre</t>
  </si>
  <si>
    <t>GF-5</t>
  </si>
  <si>
    <t>Oportunidad en la expedición y firma de CRP's</t>
  </si>
  <si>
    <t>Medir el numero de solicitudes de CRP atendidas oportunamente.</t>
  </si>
  <si>
    <t>CRP'S  expedidos en 3 días habiles</t>
  </si>
  <si>
    <t xml:space="preserve">Total solicitudes  CRP'S </t>
  </si>
  <si>
    <t>Diciembre, revisar reporte numerico, reportan un numero diferente realizados en tres días hábiles 1239</t>
  </si>
  <si>
    <t>GIP-6</t>
  </si>
  <si>
    <t xml:space="preserve">Porcentaje de satisfacción de los servicios prestados a las Personas Privadas de la Libertad         </t>
  </si>
  <si>
    <t xml:space="preserve">Medir el nivel de satisfacción de los servicios prestados a las Personas Privadas de la Libertad </t>
  </si>
  <si>
    <t xml:space="preserve">Total de encuestas satisfactorias en el mes   </t>
  </si>
  <si>
    <t xml:space="preserve">Total de encuestas realizadas en el mes   </t>
  </si>
  <si>
    <t>Octubre, noviembre:  Se validan datos y soportes. Se sugiere fortalecer la herramienta de medición para que sea más cualitativa
Diciembre: Se carga informe más no las encuestas.</t>
  </si>
  <si>
    <t>GIP-2</t>
  </si>
  <si>
    <t>Porcentaje de requerimientos vencidos en el mes</t>
  </si>
  <si>
    <t xml:space="preserve">Medir la cantidad de requerimientos respondidos de forma extemporánea por solicitudes de autoridades judiciales, administrativas, particulares y Personas Privadas de la Libertad, en relación con la situación jurídica,          </t>
  </si>
  <si>
    <t xml:space="preserve">Total de requerimientos vencidos </t>
  </si>
  <si>
    <t xml:space="preserve">Cantidad de requerimientos mensuales allegados </t>
  </si>
  <si>
    <t>&lt;10%</t>
  </si>
  <si>
    <t>Octubre:  Se solicita inactivación del indicador a partir de la fecha</t>
  </si>
  <si>
    <t>GIP-1</t>
  </si>
  <si>
    <t>Medir el porcentaje de las remisiones efectivas conforme a los requerimientos de las autoridades judiciales</t>
  </si>
  <si>
    <t xml:space="preserve">Total de remisiones efectivas en el periodo   </t>
  </si>
  <si>
    <t xml:space="preserve">Total de remisiones allegadas en el periodo   </t>
  </si>
  <si>
    <t>Diciembre: se validan datos y soportes</t>
  </si>
  <si>
    <t>GIP-7</t>
  </si>
  <si>
    <t xml:space="preserve">Porcentaje de continuidad en las actividades válidas para redención de pena </t>
  </si>
  <si>
    <t xml:space="preserve">Determinar el porcentaje mensual de las Personas Privadas de la Libertad que continúan en las actividades válidas para redención de pena.                    </t>
  </si>
  <si>
    <t xml:space="preserve">Total de Personas Privadas de la Libertad que continuaron en actividades válidas para redención de pena en el mes.   </t>
  </si>
  <si>
    <t>Total de Personas Privadas de la Libertad asignadas a actividades válidas para redención de pena</t>
  </si>
  <si>
    <t>GIP-5</t>
  </si>
  <si>
    <t xml:space="preserve">Porcentaje de atención en salud básica mensual a las Personas Privadas de la Libertad         
</t>
  </si>
  <si>
    <t>Medir la cantidad mensual de Personas Privadas de la Libertad, atendidas en el área de salud (médica, odontológica y psicológica)</t>
  </si>
  <si>
    <t xml:space="preserve">Total de Personas Privadas de la Libertad atendidas en el servicio de salud en el mes.   </t>
  </si>
  <si>
    <t xml:space="preserve">Total de solicitudes realizadas por las Personas Privadas de la Libertad para servicio de salud en el mes   
</t>
  </si>
  <si>
    <t>GIP-4</t>
  </si>
  <si>
    <t>Porcentaje cumplimiento de requisas programadas.</t>
  </si>
  <si>
    <t xml:space="preserve">Mantener el orden, disciplina y la sana convivencia con el fin de prevenir de manera individual y/o grupal actos de violencia, vandálicos y alteración del orden interno que se puedan presentar por parte de las Personas Privadas de la Libertad         </t>
  </si>
  <si>
    <t xml:space="preserve">Total de requisas realizadas en el mes.   </t>
  </si>
  <si>
    <t xml:space="preserve">Total de requisas programadas en el mes.   </t>
  </si>
  <si>
    <t>Diciembre: para el 7 de enero falta la variable de requisas programadas</t>
  </si>
  <si>
    <t>GIP-3</t>
  </si>
  <si>
    <t>Expedición de Certificados de Redención</t>
  </si>
  <si>
    <t xml:space="preserve">Medir el tiempo de respuesta de las solicitudes de las autoridades judiciales, apoderados y PPL, relacionado con los certificados de redención         </t>
  </si>
  <si>
    <t xml:space="preserve">Sumatoria de horas de respuesta a solicitudes    </t>
  </si>
  <si>
    <t xml:space="preserve">Numero de solicitudes recibidas </t>
  </si>
  <si>
    <t>∑A/B</t>
  </si>
  <si>
    <t>Diciembre: se validan datos y soportes. Dado el resultado, menor a la meta, se sugiere revisar la disminuir la meta para la vigencia 2024.</t>
  </si>
  <si>
    <t>Gestión Juridica</t>
  </si>
  <si>
    <t>GJ-2</t>
  </si>
  <si>
    <t xml:space="preserve">Nivel de oportunidad en las respuestas dadas a las demandas notificadas a la Entidad				
</t>
  </si>
  <si>
    <t xml:space="preserve">Medir el nivel de respuestas oportunas  por parte de la Dirección Jurídica y Contractual a las demandas notificadas a la Entidad														
</t>
  </si>
  <si>
    <t xml:space="preserve">Número de contestaciones de demandas con 5 días de antelación al vencimiento del término legal	
</t>
  </si>
  <si>
    <t>Total de demandas notificadas</t>
  </si>
  <si>
    <t>Porcentaje de servidores que conocen la Oficina de Análisis de Información y Estudios Estratégicos</t>
  </si>
  <si>
    <t xml:space="preserve">Conocer el porcentaje de servidores que conocen la OAIEE y los bienes o servicios que ofrece con el fin de identificar oportunidades de mejora.         </t>
  </si>
  <si>
    <t>Número de servidores que respondieron que SI conocen la OAIEE y los servicios que ofrece.</t>
  </si>
  <si>
    <t>Número de servidores que diligenciaron la encuesta.</t>
  </si>
  <si>
    <t xml:space="preserve">Porcentaje  de acciones efectivas ejecutadas del Plan de Mejoramiento Interno.         </t>
  </si>
  <si>
    <t xml:space="preserve">Determinar el porcentaje de efectividad de las acciones planteadas por las dependencias frente al Plan de Mejoramiento Interno, durante un periodo especifico.         </t>
  </si>
  <si>
    <t>Jefe Oficina de Control Interno.</t>
  </si>
  <si>
    <t xml:space="preserve">Número de acciones del Plan de Mejoramiento con seguimientos durante el trimestre.	</t>
  </si>
  <si>
    <t xml:space="preserve">Total de acciones a gestionar durante el trimestre   </t>
  </si>
  <si>
    <t>18/04/2022
Desde la OAP se realiza cargue de datos y análisis 
El proceso solicita inactivar el indicador a partir de julio.</t>
  </si>
  <si>
    <t>GJ-1</t>
  </si>
  <si>
    <t xml:space="preserve">Porcentaje de solicitudes o requerimientos judiciales (acciones de tutela) tramitadas a tiempo         </t>
  </si>
  <si>
    <t xml:space="preserve">Tramitar a tiempo el cien por ciento de las solicitudes de acciones de tutelas que gestione la Dirección Jurídica y Contractual de la Secretaría Distrital de Seguridad, Convivencia y Justicia.         </t>
  </si>
  <si>
    <t>Número de respuestas a acciones de tutela tramitadas a tiempo</t>
  </si>
  <si>
    <t>Total de solicitudes de acciones de tutela</t>
  </si>
  <si>
    <t>En Cumplimiento</t>
  </si>
  <si>
    <t>Octubre: valdia con el lider operativo de acuerdo con las evidencias
Diciembre: Sin observaciones</t>
  </si>
  <si>
    <t>Gestión Tecnológica de Seguridad y Emergencias</t>
  </si>
  <si>
    <t>GTS-1</t>
  </si>
  <si>
    <t xml:space="preserve">Porcentaje de requerimientos atendidos				
</t>
  </si>
  <si>
    <t xml:space="preserve">Gestionar los requerimientos de la solución en nube a través de diferentes controles con el fin de brindar soporte y asesoría en gestión tecnológica en seguridad y emergencias				
</t>
  </si>
  <si>
    <t>Total de requerimientos gestionados GTS</t>
  </si>
  <si>
    <t>Total de requerimientos solicitados GTS</t>
  </si>
  <si>
    <t>Inicia medición a partir del cuarto trimestre de la vigencia
Diciembre: Se validan datos y soporte</t>
  </si>
  <si>
    <t>GTS-2</t>
  </si>
  <si>
    <t xml:space="preserve">Disponibilidad de los componentes tecnológicos del C4				
</t>
  </si>
  <si>
    <t xml:space="preserve">Medir la disponibilidad del sistema NUSE 123 a través del seguimiento a  los componentes tecnológico que conforman la operación, para realizar la conciliación técnica de acuerdo con los niveles de servicio establecidos en el convenio 561 de 2014				
</t>
  </si>
  <si>
    <t>Tiempo de indisponibilidad del servicio del trimestre en minutos</t>
  </si>
  <si>
    <t>Total de minutos al trimestre</t>
  </si>
  <si>
    <t>&lt;2%</t>
  </si>
  <si>
    <t>GI-1</t>
  </si>
  <si>
    <t xml:space="preserve">Cumplimiento en tiempos de respuesta a los requerimientos de información.         </t>
  </si>
  <si>
    <t xml:space="preserve">Monitorear la respuesta de los requerimientos de información en materia de seguridad, convivencia y justicia realizados al proceso, con el fin de identificar oportunidades de mejora.              </t>
  </si>
  <si>
    <t>Número de requerimientos respondidos en los tiempos establecidos</t>
  </si>
  <si>
    <t xml:space="preserve">Número de requerimientos recibidos por el proceso C-G1-1 Gestión y Análisis de Información de S, C y AJ   </t>
  </si>
  <si>
    <t>Octubre: se validan los datos y soportes
Noviembre:Se observa sobre ejecución 
Diciembre: se validan los datos y soportes</t>
  </si>
  <si>
    <t>GI-2</t>
  </si>
  <si>
    <t>Cumplimiento en la Actualización de la  Bodega de Datos</t>
  </si>
  <si>
    <t>Validar el porcentaje de cumplimiento sobre la actualización de las fuentes de información en la Bodega de Datos de la Secretaría de Seguridad, Convivencia y Justicia, con el fin de contar con la información actualizada para el análisis, generación de estrategias y toma de decisiones.</t>
  </si>
  <si>
    <t>Número de fuentes de información actualizadas Bodega de datos</t>
  </si>
  <si>
    <t>Total fuentes de información  Bodega de datos</t>
  </si>
  <si>
    <t>Octubre, noviembre: Se validan datos y soportes
Diciembre: Se observa bajo reusltado en el indicador por falta de información para actualizar la bodega de datros</t>
  </si>
  <si>
    <t>Gestión del Conocimiento y la Innovación Pública</t>
  </si>
  <si>
    <t>GCI-1</t>
  </si>
  <si>
    <t xml:space="preserve">Medir de construcción del  inventario de conocimiento				
</t>
  </si>
  <si>
    <t xml:space="preserve">Medir el avance de la construcción del inventario de conocimiento tácito y explicito, mediante la identificación y mapeo de las actividades asociadas al cumplimiento de la misionalidad de la SDSCJ, con el fin de salvaguardar el conocimiento.				
</t>
  </si>
  <si>
    <t>Anual</t>
  </si>
  <si>
    <t>No. de actividades incluidas en el inventario de conocimiento tácito-A</t>
  </si>
  <si>
    <t>No. de actividades incluidas en el inventario de conocimiento explicito -B</t>
  </si>
  <si>
    <t>No. de actividades  identificadas de conocimiento tácito-C</t>
  </si>
  <si>
    <t>No. de actividades identificadas de conocimiento explicito-D</t>
  </si>
  <si>
    <t xml:space="preserve">((A+B)/(C+D))*100				
</t>
  </si>
  <si>
    <t>Se crea a apartir de octubre, inicia medición
Diciembre: Se recomienda organizar las evidencias</t>
  </si>
  <si>
    <t>Tipología</t>
  </si>
  <si>
    <t>Nombre  de Proceso</t>
  </si>
  <si>
    <t>Resultados</t>
  </si>
  <si>
    <t>De Apoyo
19</t>
  </si>
  <si>
    <t>Se adopta cuatro indicadores que se estaban midiendo en  los procesos: Gestión Jurídica y Contractual y Fortalecimiento de Capacidades Operativas para la S, C Y J, lo anterior, teniendo en cuenta que los indicadores contribuyen en la medición de la gestión de este proceso, de acuerdo con las actualizaciones realizadas en el mapa de procesos.</t>
  </si>
  <si>
    <t>Se adopto dos indicadores que se estaba midiendo en el marco del proceso: Gestión de Recursos Físicos y Documental, teniendo en cuenta que los indicadores contribuyen en la medición de la gestión de este proceso, de acuerdo con las actualizaciones realizadas en el mapa de procesos.</t>
  </si>
  <si>
    <t>Se adopto seis indicadores que se estaba midiendo en el marco del proceso: Gestión de Recursos Físicos y Documental, teniendo en cuenta que los indicadores contribuyen en la medición de la gestión de este proceso, de acuerdo con las actualizaciones realizadas en el mapa de procesos.</t>
  </si>
  <si>
    <t>Se da continuidad a los indicadores formulados y activos</t>
  </si>
  <si>
    <t>Se adopta cuatro indicadores que se estaban midiendo en el marco de los procesos: Gestión Jurídica y Contractual.</t>
  </si>
  <si>
    <t>De Evaluación
3</t>
  </si>
  <si>
    <t>De acuerdo con las recomendaciones emitidas, el proceso analizó la posibilidad de mencionar la numeración de los expedientes para dar cuenta del número total allegados e impulsados para los soporter de los indicadores, sin embargo, lo anterior  no seria posible ya que comprometería información confidecial y sensible de las investigaciones</t>
  </si>
  <si>
    <t>Estratégicos
19</t>
  </si>
  <si>
    <t>Se adotaron los indicadores del proceso de Atención al Ciudadano que se estaban midiendo en la vigencia, eran coherentes en su medición y visualizaban el cumplimiento del objetivo del nuevo proceso. Adicionalmente, dado el alcance del proceso se propuso la creación de un nuevo indicador.</t>
  </si>
  <si>
    <t>Se adopto un indicador que se estaba midiendo en el marco del proceso: Direccionamiento sectorial e institucional, lo anterior, teniendo en cuenta que el indicador contribuye en la medición de la gestión de este proceso, de acuerdo con las actualizaciones realizadas en el mapa de procesos.</t>
  </si>
  <si>
    <t>Fortalecimiento institucional</t>
  </si>
  <si>
    <t>Misionales
18</t>
  </si>
  <si>
    <t>Se adopto un indicador que se estaba midiendo en el marco del proceso: Fortalecimiento de Capacidades Operativas para la S, C Y J</t>
  </si>
  <si>
    <t>Se adopto los indicadores que se estaba midiendo en el marco de los procesos: Trámite Jurídico a la situación de personas privadas de la libertad, Custodia y Vigilancia para la Seguridad    y Atención Integral Básica a las personas privadas de la libertad; lo anterior,  teniendo en cuenta que los indicadores contribuyen en la medición de la gestión de este proceso, de acuerdo con las actualizaciones realizadas en el mapa de procesos.</t>
  </si>
  <si>
    <t xml:space="preserve"> </t>
  </si>
  <si>
    <t>Proceso:</t>
  </si>
  <si>
    <t>Direccionamiento Sectorial e Institucional</t>
  </si>
  <si>
    <t>Código:</t>
  </si>
  <si>
    <t>F-DS-737</t>
  </si>
  <si>
    <t>Versión:</t>
  </si>
  <si>
    <t>Fecha Aprobación:</t>
  </si>
  <si>
    <t>Documento:</t>
  </si>
  <si>
    <t>Tablero de Control de Indicadores</t>
  </si>
  <si>
    <t xml:space="preserve">Fecha de Vigencia:   06-03-2020            </t>
  </si>
  <si>
    <t>Hoja 1 de 1</t>
  </si>
  <si>
    <t>Ítem</t>
  </si>
  <si>
    <t>Objetivo del Proceso</t>
  </si>
  <si>
    <t>Factor Crítico de Éxito</t>
  </si>
  <si>
    <t>Unidad de Medida</t>
  </si>
  <si>
    <t>Meta</t>
  </si>
  <si>
    <t>Total</t>
  </si>
  <si>
    <t>Resultado Acumulado</t>
  </si>
  <si>
    <t>Análisis</t>
  </si>
  <si>
    <t>Observaciones</t>
  </si>
  <si>
    <t>B</t>
  </si>
  <si>
    <t>C</t>
  </si>
  <si>
    <t>D</t>
  </si>
  <si>
    <t>Prog</t>
  </si>
  <si>
    <t>Ejec</t>
  </si>
  <si>
    <t xml:space="preserve">AJ-1 - Acceso y Fortalecimiento a la Justicia         </t>
  </si>
  <si>
    <t xml:space="preserve">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t>
  </si>
  <si>
    <t xml:space="preserve">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t>
  </si>
  <si>
    <t xml:space="preserve">
Porcentaje de actividades implementadas para la articulación de instituciones en el marco de los sistemas locales de Justicia</t>
  </si>
  <si>
    <t xml:space="preserve">Número de actividades Programadas </t>
  </si>
  <si>
    <t xml:space="preserve">Deficiente </t>
  </si>
  <si>
    <t>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t>
  </si>
  <si>
    <t># de actividades de sensibilización  programadas</t>
  </si>
  <si>
    <t>Satisfactorio</t>
  </si>
  <si>
    <t>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</si>
  <si>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Orientar, atender y remitir a los habitantes de Bogotá a los programas y servicios de justicia y a los métodos autocompositivos para el abordaje pacífico de conflictos.</t>
  </si>
  <si>
    <t>Atenciones realizadas en las Casas de Justicia y canales no presenciales de acceso a la justicia</t>
  </si>
  <si>
    <t>Medir las atenciones a usuarios en la recepción de las Casas de Justicia y canales no presenciales de acceso a la justicia</t>
  </si>
  <si>
    <t># de atenciones realizadas</t>
  </si>
  <si>
    <t xml:space="preserve"># de atenciones solicitadas </t>
  </si>
  <si>
    <t>Acciones acompañamiento realizadas a los Actores de Justicia Comunitaria (AJC)</t>
  </si>
  <si>
    <t xml:space="preserve">Medir el porcentaje de implementación de acciones de acompañamiento realizados a los Actores de Justicia Comunitaria (AJC).
     </t>
  </si>
  <si>
    <t xml:space="preserve"># de acciones de acompañamiento ejecutadas </t>
  </si>
  <si>
    <t># de acciones de acompañamiento programadas</t>
  </si>
  <si>
    <t xml:space="preserve">Orientar, atender y remitir a los habitantes de Bogotá a los programas y servicios de justicia y a los métodos autocompositivos para el abordaje pacífico de conflictos.         </t>
  </si>
  <si>
    <t xml:space="preserve">Se cumplieron las actividades programadas para el mes, pero el resultado es con respecto a la meta anual </t>
  </si>
  <si>
    <t xml:space="preserve">Cuatrimestral </t>
  </si>
  <si>
    <t>El periodo de medición se inicia el 31-05-2020</t>
  </si>
  <si>
    <t xml:space="preserve">AS-1 - Atención y servicio al ciudadano </t>
  </si>
  <si>
    <t>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t>
  </si>
  <si>
    <t xml:space="preserve">Mediante el seguimiento a la oportunidad y a la calidad de las respuestas.         </t>
  </si>
  <si>
    <t>Sobresaliente</t>
  </si>
  <si>
    <t xml:space="preserve">Atender y orientar los requerimientos que presentan los grupos de valor y partes involucradas, en los canales de atención dispuestos por la Entidad.         </t>
  </si>
  <si>
    <t xml:space="preserve">Número de PQRS trasladadas a otra entidad   </t>
  </si>
  <si>
    <t xml:space="preserve">Número de PQRS recibidas   </t>
  </si>
  <si>
    <t>&lt;30%</t>
  </si>
  <si>
    <t>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t>
  </si>
  <si>
    <t xml:space="preserve">Brindar atención básica e integral de alimentación, salud y la vinculación a actividades </t>
  </si>
  <si>
    <t xml:space="preserve">A partir del mes de octubre se ajusta periodicidad y descripción del Indicador </t>
  </si>
  <si>
    <t xml:space="preserve">Programas y servicios implementados con el propósito de ofrecer condiciones dignas de reclusión a las Personas Privadas de la Libertad         </t>
  </si>
  <si>
    <t>Teniendo en cuanta la ejecución del indicador de satisfacción, es importante se revisen otras formas realizar las encuestas de satisfacción ya que se siguen prestando los servicios básicos a las personas privadas de la libertad y es importante conocer el nivel de satisfacción de los mismos.</t>
  </si>
  <si>
    <t xml:space="preserve">Redención de pena y/o ocupación del tiempo libre         </t>
  </si>
  <si>
    <t>"Total de Personas Privadas de la Libertad asignadas a actividades válidas para redención de pena</t>
  </si>
  <si>
    <t xml:space="preserve">Porcentaje mensual de alimentacion terapéutica suministrada       </t>
  </si>
  <si>
    <t xml:space="preserve"> Medir las raciones terápeuticas suministradas a las Personas Privadas de la Libertad en el mes.</t>
  </si>
  <si>
    <t>mensual</t>
  </si>
  <si>
    <t xml:space="preserve">Indicador nuevo, inicia medición desde el 01 de mayo de 2020. </t>
  </si>
  <si>
    <t xml:space="preserve">CVS-1 - Custodia y Vigilancia para la Seguridad    </t>
  </si>
  <si>
    <t xml:space="preserve">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t>
  </si>
  <si>
    <t xml:space="preserve">Mantener el orden, disciplina y la sana convivencia.         </t>
  </si>
  <si>
    <t>&lt; 0%</t>
  </si>
  <si>
    <t xml:space="preserve">Es necesario aplicar medidas de mejora frente a la ejecución del indicador de riñas, ya que a pesar de que el promedio de este periodo fue menor al 1er trimestre, sigue siendo alto con respecto a la vigencia anterior. 
</t>
  </si>
  <si>
    <t>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t>
  </si>
  <si>
    <t>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t>
  </si>
  <si>
    <t>Garantizar el debido proceso y acceso a la justicia dentro del marco Constitucional</t>
  </si>
  <si>
    <t xml:space="preserve">Gestionar, orientar y verificar los requerimientos relacionados con la situación jurídica de las Personas Privadas de la Libertad         </t>
  </si>
  <si>
    <t xml:space="preserve">Aplicación de las disposiciones legales y el Reglamento de Régimen Interno         </t>
  </si>
  <si>
    <t xml:space="preserve">Sumatoria de días de respuesta a solicitudes    </t>
  </si>
  <si>
    <t>15 DÍAS</t>
  </si>
  <si>
    <t xml:space="preserve">CID-1 - Control Interno Disciplinario </t>
  </si>
  <si>
    <t xml:space="preserve">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t>
  </si>
  <si>
    <t xml:space="preserve">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t>
  </si>
  <si>
    <t>Expedientes disciplinarios impulsados en terminos de ley</t>
  </si>
  <si>
    <t xml:space="preserve">Impulsar los expedientes expedientes disciplinarios de conformidad a los terminos de ley, en aras de acelerar las actuaciones administrativas de los diferentes procesos. </t>
  </si>
  <si>
    <t>No. De expedientes Disciplinarios impulsados en terminos de ley</t>
  </si>
  <si>
    <t>No. De expedientes Disciplinarios en terminos de ley para ser impulsados</t>
  </si>
  <si>
    <t xml:space="preserve">DS-1 - Direccionamiento sectorial e institucional    </t>
  </si>
  <si>
    <t xml:space="preserve">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t>
  </si>
  <si>
    <t>planear la gestión institucional y sectorial a través de políticas.</t>
  </si>
  <si>
    <t>numero de servidores con calificaciones entre 4 y 5</t>
  </si>
  <si>
    <t>total de servidores capacitados</t>
  </si>
  <si>
    <t xml:space="preserve">Planear la gestión institucional y sectorial </t>
  </si>
  <si>
    <t>Jefe de la Oficina Asesora de Planeación</t>
  </si>
  <si>
    <t xml:space="preserve">Dependencias de la entidad </t>
  </si>
  <si>
    <t xml:space="preserve">Se ajusta el indicador a la medición del cumplimeinto del Plan Operativo Anual de la Oficina de Planeación </t>
  </si>
  <si>
    <t>FC-1 - Fortalecimiento de Capacidades Operativas para la S, C Y J</t>
  </si>
  <si>
    <t xml:space="preserve">Adquirir los bienes y servicios requeridos por los organismos de seguridad, convivencia y acceso a la justicia, mediante el cumplimiento de las diferentes etapas contractuales para el mejoramiento de las condiciones de seguridad, convivencia y justicia en el Distrito Capital.         </t>
  </si>
  <si>
    <t xml:space="preserve">Adquirir los bienes y servicios requeridos por los organismos de seguridad, convivencia y acceso a la justicia, mediante el cumplimiento de las diferentes etapas contractuales   </t>
  </si>
  <si>
    <t>LIMINAD</t>
  </si>
  <si>
    <t xml:space="preserve">mejoramiento de las condiciones de seguridad, convivencia y justicia en el Distrito Capital.         </t>
  </si>
  <si>
    <t>Porcentaje de solicitudes de mantenimiento gestionadas</t>
  </si>
  <si>
    <t>Verificar el porcentaje de ejecución de las solicitudes de mantenimientos que son gestionadas por la Dirección de Bienes.</t>
  </si>
  <si>
    <t xml:space="preserve"> # De solicitudes gestionadas</t>
  </si>
  <si>
    <t># De Solicitudes de mantenimiento</t>
  </si>
  <si>
    <t>Porcentaje de procesos publicados declarados desiertos de la unidad ejecutora 02</t>
  </si>
  <si>
    <t xml:space="preserve">Establecer el porcentaje de órdenes de compra, invitaciones y pliegos de condiciones elaborados, con respecto a los procesos contractuales presupuestados que requieren pliego de condiciones.         </t>
  </si>
  <si>
    <t xml:space="preserve">Establecer el porcentaje de los procesos declarados desiertos por aspectos técnicos, financieros o jurídicos, con respecto a los procesos de selección publicados de la unidad ejecutora 02. </t>
  </si>
  <si>
    <t># Procesos declarados desiertos de la unidad ejecutora 02</t>
  </si>
  <si>
    <t># Procesos de selección de la unidad ejecutora 02 publicados</t>
  </si>
  <si>
    <t>Eliminado</t>
  </si>
  <si>
    <t>Se elimina de acuerdo a la revisión e indicdores del mes de marzo</t>
  </si>
  <si>
    <t xml:space="preserve">GC-1 - Gestión de Comunicaciones        </t>
  </si>
  <si>
    <t xml:space="preserve">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t>
  </si>
  <si>
    <t>Estrategias de comunicación hacia las partes interesadas y los grupos de valor</t>
  </si>
  <si>
    <t xml:space="preserve"> Crecimiento digital de las audiencias a través de los canales oficiales de la SSCJ    </t>
  </si>
  <si>
    <t>Número de nuevos seguidores en Canales Digitales para el periodo actual</t>
  </si>
  <si>
    <t xml:space="preserve">Número de seguidores en Canales digitales para el periodo anterior. </t>
  </si>
  <si>
    <t xml:space="preserve">Crecimiento de la audiencia a través del canal de intranet de la SSCJ </t>
  </si>
  <si>
    <t xml:space="preserve"> Conocer el nivel de audiencia digital de los seguidores en los medios oficiales de comunicación de la SSCJ         </t>
  </si>
  <si>
    <t xml:space="preserve">Número de nuevas visitas a la intranet para el periodo actual </t>
  </si>
  <si>
    <t xml:space="preserve">Número de visitas a la intranet para el periodo anterior. </t>
  </si>
  <si>
    <t xml:space="preserve">Diseño de mensajes que permitan el posicionamiento de la secretaría Distrital de seguridad, convivencia y Justicia </t>
  </si>
  <si>
    <t xml:space="preserve">Porcentaje de Oportunidad en la entrega de piezas gráficas de comunicación efectivas    </t>
  </si>
  <si>
    <t xml:space="preserve">La sumatoria de los días de elaboración de las piezas gráficas </t>
  </si>
  <si>
    <t>5 días</t>
  </si>
  <si>
    <t xml:space="preserve">GE-1 - Gestión de Emergencias     </t>
  </si>
  <si>
    <t xml:space="preserve">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</si>
  <si>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 xml:space="preserve">Articular y gestionar las herramientas tecnológicas, operacionales y humanas dispuestas por el Distrito Capital para la atención de seguridad y emergencias         </t>
  </si>
  <si>
    <t xml:space="preserve">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</si>
  <si>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Número llamadas abandonadas después del umbral (20 segundos)</t>
  </si>
  <si>
    <t>&lt; 10%</t>
  </si>
  <si>
    <t xml:space="preserve">A través de la implementación de procedimientos, protocolos y modelos de operación, la innovación tecnológica y transferencia de conocimiento </t>
  </si>
  <si>
    <t xml:space="preserve">Total de llamadas respondidas antes de umbral </t>
  </si>
  <si>
    <t>Total de llamadas respondidas</t>
  </si>
  <si>
    <t xml:space="preserve">FD-1 - Gestión de Recursos Físicos y Documental        </t>
  </si>
  <si>
    <t xml:space="preserve">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</si>
  <si>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Prestar los servicios de control de inventarios.         </t>
  </si>
  <si>
    <t xml:space="preserve">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</si>
  <si>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Expedientes consultados</t>
  </si>
  <si>
    <t xml:space="preserve">Porcentaje de avance Programa de Gestión Documental         </t>
  </si>
  <si>
    <t xml:space="preserve">Medir el porcentaje de cumplimiento de las actividades propuestas en la implementación del Programa de Gestión Documental PGD, de acuerdo al cronograma previsto.         </t>
  </si>
  <si>
    <t xml:space="preserve">Número de actividades Ejecutada en el periodo   </t>
  </si>
  <si>
    <t xml:space="preserve">Porcentaje de cumplimiento Estudios previos procesos de la Dirección de Recursos Físicos y Gestión Documental         </t>
  </si>
  <si>
    <t>Realizar el seguimiento a la estructuración oportuna de  los estudios previos de los procesos contractuales requeridos por la Dirección de Recursos Físicos y Gestión Documental en el Plan Anual de Adquisiciones.</t>
  </si>
  <si>
    <t xml:space="preserve">Número de estudios previos radicados en la Dirección Jurídica y Contractual durante el periodo.   </t>
  </si>
  <si>
    <t>Total de procesos contractuales requeridos en el Plan Anual de Adquisiciones.</t>
  </si>
  <si>
    <t>Porcentaje de cumplimiento Sistema de Gestión de Documentos Electrónicos de Archivo -SGDEA-</t>
  </si>
  <si>
    <t xml:space="preserve">Medir el porcentaje de cumplimiento de las actividades propuestas en la estructuración del Sistema de Gestión de Documentos Electrónicos de Archivo -SGDEA-.         </t>
  </si>
  <si>
    <t>Total de actividades programadas en el periodo.</t>
  </si>
  <si>
    <t xml:space="preserve">Se elimina por que se incorpora al indicador de instrumentos archivistricos </t>
  </si>
  <si>
    <t xml:space="preserve">Porcentaje de cumplimiento del Sistema Integrado de Conservación SIC          </t>
  </si>
  <si>
    <t xml:space="preserve">Medir el porcentaje de cumplimiento de las actividades propuestas en la estructuración del Sistema Integrado de Conservación -SIC-          </t>
  </si>
  <si>
    <t xml:space="preserve">Porcentaje de Transferencias documentales de los archivos de gestión al archivo central </t>
  </si>
  <si>
    <t xml:space="preserve">Medir el porcentaje de cumplimiento de la transferencia documental de cada una de las dependencias al Archivo Central de la Entidad, de acuerdo a la aplicación de la TRD y Plan de Transferencia Documental, cumpliendo con la normatividad vigente.         </t>
  </si>
  <si>
    <t>Número de transferencias primarias de archivos de la SSCJ realizadas.</t>
  </si>
  <si>
    <t>Total de transferencias primarias de archivos programadas durante el periodo</t>
  </si>
  <si>
    <t xml:space="preserve">GS-1 - Gestión de Seguridad y Convivencia     </t>
  </si>
  <si>
    <t xml:space="preserve">Formular, implementar y hacer seguimiento a los programas de la Subsecretaría mediante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</si>
  <si>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Formular, implementar y evaluar las estrategias de seguridad y convivencia          </t>
  </si>
  <si>
    <t xml:space="preserve">Porcentaje de avance  en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</si>
  <si>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vinculados al proceso         </t>
  </si>
  <si>
    <t xml:space="preserve">Estable </t>
  </si>
  <si>
    <t xml:space="preserve">Sumatoria del cumplimiento periódico porcentual de las actividades programadas en el periodo desagregadas por localidad (nivel central como una localidad mas),  acumulado a la fecha de reporte desde el 1 de enero de la vigencia   </t>
  </si>
  <si>
    <t xml:space="preserve">Número de actividades desagregadas por periodo y localidad programadas para ejecutar acumulado a la fecha de reporte desde el 1 de enero de la vigencia   </t>
  </si>
  <si>
    <t xml:space="preserve">GT-1 - Gestión de tecnologías de la información      </t>
  </si>
  <si>
    <t xml:space="preserve">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t>
  </si>
  <si>
    <t xml:space="preserve">a través del marco de referencia de Arquitectura TI y la implementación de la Estrategia de Gobierno Digital         </t>
  </si>
  <si>
    <t>Indicador inactivo</t>
  </si>
  <si>
    <t xml:space="preserve">Gestionar los sistemas de información y la infraestructura tecnológica         </t>
  </si>
  <si>
    <t xml:space="preserve">Porcentaje de servicios atendidos a "Satisfacción" del usuario por la Dirección de Tecnologías y Sistemas de la Información         </t>
  </si>
  <si>
    <t xml:space="preserve">Medir la atención a "Satisfacción" del usuario de solicitudes de servicios de TIC   </t>
  </si>
  <si>
    <t xml:space="preserve">Número de casos atendidos a "Satisfacción" del usuario en la Herramienta de Mesa de Servicio   </t>
  </si>
  <si>
    <t>Total  de Servicios TIC atendidos en la Herramienta de Mesa de Servicio</t>
  </si>
  <si>
    <t>Gestionar los sistemas de información y la infraestructura tecnológica</t>
  </si>
  <si>
    <t xml:space="preserve">GF-1 - Gestión Financiera       </t>
  </si>
  <si>
    <t xml:space="preserve">Programar, registrar y controlar los recursos financieros de la Secretaría Distrital de Seguridad, Convivencia y Justicia a través de los aplicativos de la Secretaría Distrital de Hacienda, con el fin de reflejar la realidad económica de la Entidad.         </t>
  </si>
  <si>
    <t xml:space="preserve">Programar, registrar y controlar los recursos financieros de la Secretaría Distrital de Seguridad, Convivencia y Justicia         </t>
  </si>
  <si>
    <t xml:space="preserve">Los aplicativos de la Secretaría Distrital de Hacienda         </t>
  </si>
  <si>
    <t xml:space="preserve">GH-1 - Gestión Humana      </t>
  </si>
  <si>
    <t xml:space="preserve">Administrar la gestión del talento humano mediante la articulación de actividades de ingreso, permanencia y retiro, generando bienestar y contribuyendo con el desarrollo integral de los servidores públicos.         </t>
  </si>
  <si>
    <t xml:space="preserve">Administrar la gestión del talento humano </t>
  </si>
  <si>
    <t>Oportunidad en la entrega de la nómina para revisión</t>
  </si>
  <si>
    <t xml:space="preserve">Medir la oportunidad en los tiempos de entrega de la nómina para revisión del Director de Gestión Humana         </t>
  </si>
  <si>
    <t>Fecha de Cronograma</t>
  </si>
  <si>
    <t>Fecha Real de Entrega</t>
  </si>
  <si>
    <t>B-A</t>
  </si>
  <si>
    <t>(-) 1 día</t>
  </si>
  <si>
    <t xml:space="preserve">Porcentaje de inconsistencias o errores presentados en nómina         </t>
  </si>
  <si>
    <t xml:space="preserve">Medir el porcentaje de inconsistencias que se presenten en la nómina, una vez ésta ha sido entregada.         </t>
  </si>
  <si>
    <t xml:space="preserve">No. de inconsistencias o rechazos detectados después de entregada la nomina del periodo    </t>
  </si>
  <si>
    <t xml:space="preserve">Total de funcionarios en la nomina   </t>
  </si>
  <si>
    <t>Actualización de la Planta de personal</t>
  </si>
  <si>
    <t>Garantizar la entrega oportuna de la actualización de la planta de personal de la SCJ.</t>
  </si>
  <si>
    <t xml:space="preserve">Fecha programada para entrega de la planta actualizada   </t>
  </si>
  <si>
    <t xml:space="preserve">Fecha real de entrega de la planta actualizada   </t>
  </si>
  <si>
    <t>No existe un valor acumulado de las variables dada su unidad  de medición. Su resultado se genera del promedio de días de entrega de la planta de personal</t>
  </si>
  <si>
    <t>Oportunidad de respuesta a solicitudes basadas en planta de empleos e historias laborales</t>
  </si>
  <si>
    <t>Cumplir con una meta de tiempo definida, para dar respuesta a las solicitudes hechas a Gestión Humana por temas de planta de empleos e historias laborales</t>
  </si>
  <si>
    <t>días</t>
  </si>
  <si>
    <t xml:space="preserve">Trimestral </t>
  </si>
  <si>
    <t>Sumatoria días de tiempos de respuesta</t>
  </si>
  <si>
    <t>Número total de solicitudes</t>
  </si>
  <si>
    <t>(A/B)</t>
  </si>
  <si>
    <t>&lt;= 7 días</t>
  </si>
  <si>
    <t>Oportunidad de respuesta a solicitudes de reubicación o traslados</t>
  </si>
  <si>
    <t>Cumplir con una meta de tiempo definida, para dar respuesta a las solicitudes hechas a Gestión Humana por reubicación</t>
  </si>
  <si>
    <t>Tiempo promedio de cubrimiento de vacantes en forma temporal mediante encargo</t>
  </si>
  <si>
    <t>Medir el tiempo promedio que dura el proceso de provisión para cubrir vacantes de forma temporal mediante encargo</t>
  </si>
  <si>
    <t>Sumatoria del total de días necesarios para cubrir las vacantes por encargo del período</t>
  </si>
  <si>
    <t>Cantidad de personas vinculadas para cubrir las vacantes por encargo</t>
  </si>
  <si>
    <t>45 días</t>
  </si>
  <si>
    <t xml:space="preserve"> Se reportan don indicadores con resultado cero, debido al ingreso de personal por la convocatoria 741 de 2018, no se presentaron vacantes o provisionalidades para cubrir en el primer trimestre de la vigencia. 
</t>
  </si>
  <si>
    <t>Tiempo promedio de cubrimiento de vacantes en forma temporal mediante nombramiento en provisionalidad</t>
  </si>
  <si>
    <t>Medir el tiempo promedio que dura el proceso de provisión para cubrir vacantes de forma temporal mediante nombramiento en provisionalidad</t>
  </si>
  <si>
    <t>Sumatoria del total de días necesarios para cubrir las vacantes por provisionalidad del período</t>
  </si>
  <si>
    <t xml:space="preserve"> Cantidad de personas vinculadas para cubrir las vacantes por provisionalidad</t>
  </si>
  <si>
    <t xml:space="preserve">** debido al ingreso de personal por la convocatoria 741 de 2018, no se presentaron vacantes o provisionalidades para cubrir en el primer trimestre de la vigencia. </t>
  </si>
  <si>
    <t xml:space="preserve">Satisfacción con Actividades de Gestión Humana - SST         </t>
  </si>
  <si>
    <t>Satisfacción con Actividades de Gestión Humana</t>
  </si>
  <si>
    <t xml:space="preserve">Conocer el grado de satisfacción de los servidores, respecto a las actividades realizadas por Gestión Humana en el área de capacitación         </t>
  </si>
  <si>
    <t xml:space="preserve">Satisfacción con Actividades de Gestión Humana         </t>
  </si>
  <si>
    <t xml:space="preserve">Conocer el grado de satisfacción de los servidores, respecto a las actividades realizadas por Gestión Humana en el área de bienestar.         </t>
  </si>
  <si>
    <t>Cobertura con las actividades de Gestión Humana - SST</t>
  </si>
  <si>
    <t xml:space="preserve">Medir la participación de los servidores en las actividades de gestión humana, en los temas de SST   </t>
  </si>
  <si>
    <t>Total de servidores que participaron en al menos una (1) actividad</t>
  </si>
  <si>
    <t xml:space="preserve"> Total de servidores en planta </t>
  </si>
  <si>
    <t>Cobertura con las actividades de Gestión Humana - Capacitación</t>
  </si>
  <si>
    <t xml:space="preserve">Medir la participación de los servidores en las actividades de capacitación de  gestión humana.      </t>
  </si>
  <si>
    <t>Cobertura con las actividades de Gestión Humana - Bienestar</t>
  </si>
  <si>
    <t xml:space="preserve">Medir la participación de los servidores en las actividades de bienestar de gestión humana. </t>
  </si>
  <si>
    <t xml:space="preserve">Administrar la gestión del talento humano          </t>
  </si>
  <si>
    <t>Porcentaje de implementación del plan del Sistema de Gestión de Seguridad y Salud en el Trabajo</t>
  </si>
  <si>
    <t>Medir el cumplimiento de la implementación del Sistema de Seguridad y Salud en el Trabajo en cada trimestre</t>
  </si>
  <si>
    <t xml:space="preserve">Impacto de la intervención asociada al programa de vigilancia epidemiológica de riesgo psicosocial         </t>
  </si>
  <si>
    <t xml:space="preserve">Medir el impacto que se generó en los servidores, de acuerdo con los aspectos analizados según encuestas de riesgo psicosocial aplicadas         </t>
  </si>
  <si>
    <t xml:space="preserve">Resultado Batería Riesgo Psicosocial Año 2017   </t>
  </si>
  <si>
    <t xml:space="preserve">Resultado Batería Riesgo Psicosocial Año 2019   </t>
  </si>
  <si>
    <t xml:space="preserve">Una vez analizado la información de medición se concluye que la herramienta utilizada para medir impacto psicosocial tiene que desarrollarse de manera presencial y debido a las condiciones actuales de virtualidad, no es posible,por tal razón se elimina de la bateria de indicadores del proceso </t>
  </si>
  <si>
    <t xml:space="preserve">Impacto de la actividades de capacitación         </t>
  </si>
  <si>
    <t>Medir el impacto que el programa de capacitación generó en los servidores</t>
  </si>
  <si>
    <t>Evaluación de Salida</t>
  </si>
  <si>
    <t>Evaluación de entrada</t>
  </si>
  <si>
    <t xml:space="preserve">Una vez analizado la información de medición se concluye que para 2021 las capacitaciones realizadas no cumplen con el minimo de horas requeridas para la medición de impacto, por tal razón se elimina de la bateria de indicadores del proceso. Par la vigencia 2021. se tendra un solo indicador de medición de impacto </t>
  </si>
  <si>
    <t>Oportunidad en la proyección de los actos administrativos</t>
  </si>
  <si>
    <t>Cumplir con la meta de tiempo establecida para la proyección de los actos administrativos que dependen de la Dirección de Gestión Humana.</t>
  </si>
  <si>
    <t>Sumatoria tiempos de proyección de los actos administrativos</t>
  </si>
  <si>
    <t xml:space="preserve"> Número total de actos administrativos</t>
  </si>
  <si>
    <t>3 días</t>
  </si>
  <si>
    <t>Cumplimiento de la puesta en marcha de la estrategia de teletrabajo en la SCJ</t>
  </si>
  <si>
    <t>Evidenciar el cumplimiento del plan de trabajo definido para la implementación y puesta en marcha de la estrategia de teletrabajo</t>
  </si>
  <si>
    <t xml:space="preserve">JC-1 - Gestión Jurídica y Contractual </t>
  </si>
  <si>
    <t>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t>
  </si>
  <si>
    <t xml:space="preserve">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t>
  </si>
  <si>
    <t xml:space="preserve">Asesorar los asuntos jurídicos que se susciten en la entidad, proteger los intereses y derechos de la Secretaría, al resolver los recursos de apelación, contratar y ejecutar la adquisición de obras, bienes y servicios y ejercer la defensa judicial.         </t>
  </si>
  <si>
    <t>GI-1 - Gestión y Análisis de  Información de S,C Y J</t>
  </si>
  <si>
    <t xml:space="preserve">Analizar y suministrar información a través de la elaboración de documentos y de la actualización de la plataforma digital, con el fin de apoyar la gestión de las políticas públicas en materia de seguridad, convivencia y acceso a la justicia         </t>
  </si>
  <si>
    <t xml:space="preserve">Analizar y suministrar información          </t>
  </si>
  <si>
    <t xml:space="preserve">Porcentaje de cumplimiento en tiempos de respuesta a los requerimientos de información.         </t>
  </si>
  <si>
    <t xml:space="preserve">Monitorear la respuesta de los requerimientos de información en materia de seguridad, convivencia y justicia realizados al proceso, con el fin de identificar oportunidades de mejora.         </t>
  </si>
  <si>
    <t>Elaboración de documentos y actualización de la plataforma digital</t>
  </si>
  <si>
    <t xml:space="preserve">SM-1 - Seguimiento y monitoreo al Sistema de Control Interno    </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</si>
  <si>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</si>
  <si>
    <t>Actividades programadas en el Plan Anual de Auditoria, desarrollándolas de forma independiente, objetiva y bajo los lineamientos del MIPG</t>
  </si>
  <si>
    <t>Oficina de Control Interno.</t>
  </si>
  <si>
    <t>Número de informes de seguimientos y auditorias realizadas de acuerdo al Plan Anual de Auditoria.</t>
  </si>
  <si>
    <t>Número de informes de seguimientos y auditorias programadas de acuerdo al Plan Anual de Auditoria.</t>
  </si>
  <si>
    <t xml:space="preserve"> Facilitar la toma de decisiones por parte de la alta dirección de la SDSCJ.          </t>
  </si>
  <si>
    <t xml:space="preserve">"Numero de acciones del Plan de Mejoramiento cerradas efectivamente durante el trimestre.
 "   </t>
  </si>
  <si>
    <t>Orientar, atender y remitir a los habitantes de Bogotá a los programas y servicios de justicia y a los métodos autocompositivos para el abordaje pacífico de conflictos</t>
  </si>
  <si>
    <t>Porcentaje de atenciones a personas pospenadas y jóvenes mayores de 18 años de edad egresados del SRPA</t>
  </si>
  <si>
    <t>Medir el porcentaje de personas atendidas en los servicios pospenitenciarios y de posegreso del SRPA mayores de 18 años de edad</t>
  </si>
  <si>
    <t>Número de personas atendidas</t>
  </si>
  <si>
    <t>Número de personas que se esperan atender</t>
  </si>
  <si>
    <t xml:space="preserve">Fortalecer el acceso a la justicia, el mejoramiento de las condiciones de convivencia, la prevención del delito, la reparación a las víctimas y el empoderamiento de derechos de sus habitantes. 
</t>
  </si>
  <si>
    <t>Medir el porcentaje de reincidencia penitenciaria o de ingreso al Sistema Nacional Penitenciario y Carcelario de las personas atendidas en Casa Libertad</t>
  </si>
  <si>
    <t>Número de personas atendidas en la vigencia pasada que ingresaron al Sistema Nacional Penitenciario y Carcelario en la vigencia actual</t>
  </si>
  <si>
    <t>Número de personas atendidas en la vigencia pasada</t>
  </si>
  <si>
    <t>&lt;5,2%</t>
  </si>
  <si>
    <t>Deficiente</t>
  </si>
  <si>
    <t>Porcentaje de avance en la actualización de los instrumentos archivísticos</t>
  </si>
  <si>
    <t>Medir el porcentaje de cumplimiento de las actividades propuestas en la actualización de los instrumentos archivísticos, de acuerdo al cronograma previsto.</t>
  </si>
  <si>
    <t xml:space="preserve">Actividades programadas que permitan la actualización de los instrumentos archivísticos.  </t>
  </si>
  <si>
    <t>Se solicita eliminación a partir de enero 2022, en el aplicativo Portal MIPg tenia el código AJ-IND3,</t>
  </si>
  <si>
    <t>Se solicita eliminación a partir de enero 2022, en el aplicativo Portal MIPG tenia el códigoFC-IND1,</t>
  </si>
  <si>
    <t>Av. Calle 26 # 57- 83
Torre 7 Tel: 3779595  
Código Postal: 111321
www.scj.gov.co</t>
  </si>
  <si>
    <t>Proyecto</t>
  </si>
  <si>
    <t xml:space="preserve">No. </t>
  </si>
  <si>
    <t>Nombre</t>
  </si>
  <si>
    <t>Cod.</t>
  </si>
  <si>
    <t>Descripción</t>
  </si>
  <si>
    <t>Fortalecimiento de los Organismos de Seguridad del Distrito</t>
  </si>
  <si>
    <t>Implementar y sostener 1 Centro de Comando y Control para el mejoramiento en la atención de emergencias de la ciudad</t>
  </si>
  <si>
    <t>Garantizar  100 por ciento la transmisión, operación y mantenimiento de los equipo del sistema integral de video vigilancia de los organismos de seguridad y defensa de la ciudad</t>
  </si>
  <si>
    <t>Construir y/o reponer 16 CAI en la ciudad de Bogotá</t>
  </si>
  <si>
    <t>Construir 3 equipamiento para la Brigada XIII</t>
  </si>
  <si>
    <r>
      <t xml:space="preserve">Construir, adecuar, reforzar y/o ampliar 3 equipamientos de seguridad, defensa y justicia </t>
    </r>
    <r>
      <rPr>
        <sz val="10"/>
        <color rgb="FFFF0000"/>
        <rFont val="Arial Narrow"/>
        <family val="2"/>
      </rPr>
      <t>(META COMPARTIDA CON LA DEL COMANDO MEBOG)</t>
    </r>
  </si>
  <si>
    <r>
      <t xml:space="preserve">Adquirir 2.532 equipos de cómputo y/o tecnológicos para los organismos de seguridad y defensa </t>
    </r>
    <r>
      <rPr>
        <sz val="10"/>
        <color rgb="FFFF0000"/>
        <rFont val="Arial Narrow"/>
        <family val="2"/>
      </rPr>
      <t>(META COMPARTIDA)</t>
    </r>
  </si>
  <si>
    <t>Garantizar 100 por ciento  el mantenimiento y sostenibilidad del parque automotor al servicio a los organismos de seguridad de la ciudad</t>
  </si>
  <si>
    <r>
      <t xml:space="preserve">Garantizar  100 por ciento  </t>
    </r>
    <r>
      <rPr>
        <sz val="10"/>
        <color rgb="FF000000"/>
        <rFont val="Arial Narrow"/>
        <family val="2"/>
      </rPr>
      <t>la sostenibilidad de los semovientes  detectores al servicio de los organismos de seguridad y defensa mediante la asignación de suministros</t>
    </r>
  </si>
  <si>
    <t>Atender 100 por ciento los requerimientos en seguridad, comunicaciones  y logística del esquema de seguridad de la Alcaldía Mayor de Bogotá</t>
  </si>
  <si>
    <t>Adquirir 3.847  medios de transporte  para el fortalecimiento de la movilidad de los organismos de seguridad</t>
  </si>
  <si>
    <r>
      <t xml:space="preserve">Mantener 100 por ciento </t>
    </r>
    <r>
      <rPr>
        <sz val="10"/>
        <color rgb="FF000000"/>
        <rFont val="Arial Narrow"/>
        <family val="2"/>
      </rPr>
      <t>los equipos técnicos de inteligencia e investigación criminal para los organismos de seguridad y defensa de la ciudad</t>
    </r>
  </si>
  <si>
    <t>Adquirir 545  equipos técnicos de inteligencia e investigación criminal para los organismos de seguridad y defensa de la ciudad</t>
  </si>
  <si>
    <t>Garantizar 100 por ciento la operación y sostenimiento del proyecto</t>
  </si>
  <si>
    <t>Suministrar  646.212  raciones de alimentos para eventos especiales de los organismos de seguridad  de la ciudad</t>
  </si>
  <si>
    <t>Adquirir 101.000 elementos y suministro de intendencia para los organismos de seguridad de la ciudad</t>
  </si>
  <si>
    <t>Garantizar  en 20 localidades  el mantenimiento, operación y sostenimiento de los equipamientos de seguridad de la ciudad</t>
  </si>
  <si>
    <t>Actualizar y/o renovar 1 sistema de radio troncalizado para el fortalecimiento operacional de los organismos de seguridad</t>
  </si>
  <si>
    <t>Atender el 100% la conectividad del servicio de voz y datos de los organismos de seguridad, defensa y justicia</t>
  </si>
  <si>
    <t>Mantener el 100% de los equipos de computo y sistemas de respaldo electrico de los organismos de seguridad.</t>
  </si>
  <si>
    <t>Garantizar el 100% la dotación de mobiliario para los equipamientos de seguridad y defensa</t>
  </si>
  <si>
    <t>Garantizar 100 por ciento el pago de compromisos de vigencias anteriores fenecidas</t>
  </si>
  <si>
    <t xml:space="preserve">Prevención y Control del delito en el distrito capital </t>
  </si>
  <si>
    <r>
      <t xml:space="preserve">Implementar 100% una estrategia de mejoramiento de la percepción de seguridad y  aumento de la corresponsabilidad ciudadana  a través del fortalecimiento de los consejos locales de seguridad, frentes locales y juntas zonales </t>
    </r>
    <r>
      <rPr>
        <b/>
        <sz val="10"/>
        <color rgb="FFFF0000"/>
        <rFont val="Arial Narrow"/>
        <family val="2"/>
      </rPr>
      <t xml:space="preserve">(META QUE PARTIR DEL 2019 SE RELACIONARA EN LA META PLAN 110) </t>
    </r>
  </si>
  <si>
    <t>Implementar 100% una estrategia de prevención del delito a través de intervenciones sociales y situacionales  y la promoción de la cultura ciudadana, en el marco del PISCJ</t>
  </si>
  <si>
    <r>
      <t>Implementar 100% una estrategia de control por medio del fortalecimiento de la investigación judicial y criminal de delitos priorizados y el fortalecimiento de la gestión de las entidades de seguridad.</t>
    </r>
    <r>
      <rPr>
        <b/>
        <sz val="10"/>
        <color rgb="FFFF0000"/>
        <rFont val="Arial Narrow"/>
        <family val="2"/>
      </rPr>
      <t>(APARTIR DEL 2018 SE RELACIONA ESTA  META EN META PDD110)</t>
    </r>
  </si>
  <si>
    <r>
      <t xml:space="preserve">Implementar el 100% de un modelo de intervención integral de territorio </t>
    </r>
    <r>
      <rPr>
        <b/>
        <sz val="10"/>
        <color rgb="FFFF0000"/>
        <rFont val="Arial Narrow"/>
        <family val="2"/>
      </rPr>
      <t xml:space="preserve"> </t>
    </r>
  </si>
  <si>
    <t>Elaborar 20 documentos de política pública que involucren la utilización de métodos cuantitativos, geoestadísticos y cualitativos de investigación para respaldar con evidencia empírica el proceso de toma de decisiones.</t>
  </si>
  <si>
    <t>Consolidar 100 por ciento los recursos humano y tecnológico para el diseño y validación de modelos de analítica predictiva en materia de seguridad y convivencia para la toma de decisiones en Bogotá.</t>
  </si>
  <si>
    <t>Nuevos y mejores equipamientos de justicia para Bogotá</t>
  </si>
  <si>
    <t>Garantizar 100% por ciento La Operación y sostenimiento del proyecto de inversión.</t>
  </si>
  <si>
    <t>Mantener y/o adecuar 12 Equipamientos de justicia</t>
  </si>
  <si>
    <t>Justicia para Todos</t>
  </si>
  <si>
    <t xml:space="preserve">Implementar el100% del Modelo de Articulación de los operadores de justicia formal, no formal y comunitaria que operan en la ciudad. </t>
  </si>
  <si>
    <t xml:space="preserve">Capacitar y Articular al  100% De los operadores De justicia no formal y comunitaria del Distrito </t>
  </si>
  <si>
    <t>Ampliar en un 20% el Número de ciudadanos Atendidos en los equipamientos de justicia del Distrito.</t>
  </si>
  <si>
    <t>Ampliar en un 15% los jovenes con sanción privativa de la libertad en el SRPA que son atendidos integralmente</t>
  </si>
  <si>
    <t>Brindar atención integral  al 100%    De la población Privada de la libertad en la Cárcel Distrital de Varones y el Anexo de Mujeres, y garantizar su adecuada operación.</t>
  </si>
  <si>
    <t>Diseñar e implementar en un  100% el Modelo de Atención Restaurativo en los equipamientos de justicia del Distrito.</t>
  </si>
  <si>
    <t xml:space="preserve">Implementación, prevención y difución del código nacional de policóa y convivencia en Bogotá </t>
  </si>
  <si>
    <t xml:space="preserve">Implementar 100 por ciento los programas para medidas correctivas  </t>
  </si>
  <si>
    <t>Realizar 100 por ciento de las acciones pertinentes para realizar el  cobro persuasivo.</t>
  </si>
  <si>
    <t>Implementar 100 por ciento de las estrategias de cultura ciudadana para la prevención de conductas contrarias a la convivencia proyectadas</t>
  </si>
  <si>
    <t xml:space="preserve">Modernización de la Gestión Adminsitrativa Institucional </t>
  </si>
  <si>
    <t>Garantizar la implementación de 1 plan de mejoramiento de la infraestructura física y organizacional de la entidad</t>
  </si>
  <si>
    <t>Garantizar 100 Por Ciento El Funcionamiento del Proyecto de Inversion</t>
  </si>
  <si>
    <t>Garantizar el 100 por ciento  el funcionamiento del Proyecto de Inversión</t>
  </si>
  <si>
    <t xml:space="preserve">Mejoramiento de las Tic para la gestión Institucional </t>
  </si>
  <si>
    <t xml:space="preserve">Implementar y fortalecer 6 componentes de infraestructura y servcios tecnologicos necesarios para soportar la operacion de la secretaria y sus sedes </t>
  </si>
  <si>
    <t xml:space="preserve">Implementar 80 por ciento del sistema de gestion de seguridad de la informacion en el marco de ISO 27001 </t>
  </si>
  <si>
    <t xml:space="preserve">Desarrollo y fortalecimiento de la transparencia, gestión pública y servicio a la ciudadanía </t>
  </si>
  <si>
    <t>Implementar 1 estrategia De Transparencia,  cultura ciudadana y de la legalidad en el
marco de la política Distrital de transparencia y lucha contra la corrupción</t>
  </si>
  <si>
    <r>
      <t>Garantizar 100 porciento la implementacion y sostenibilidad del MIPG</t>
    </r>
    <r>
      <rPr>
        <b/>
        <sz val="10"/>
        <color rgb="FFFF0000"/>
        <rFont val="Arial Narrow"/>
        <family val="2"/>
      </rPr>
      <t xml:space="preserve">
</t>
    </r>
  </si>
  <si>
    <t>No. Ind.</t>
  </si>
  <si>
    <t xml:space="preserve">Indicadores </t>
  </si>
  <si>
    <t>Línea base Inicial</t>
  </si>
  <si>
    <t>Línea base Calculada</t>
  </si>
  <si>
    <t>Meta Plan</t>
  </si>
  <si>
    <t>Objetivo/Producto</t>
  </si>
  <si>
    <t>Tipo de Indicador</t>
  </si>
  <si>
    <t xml:space="preserve">Meta </t>
  </si>
  <si>
    <t xml:space="preserve">Análisis </t>
  </si>
  <si>
    <t>Programado</t>
  </si>
  <si>
    <t>Avance Acumulado</t>
  </si>
  <si>
    <t>Tasa de homicios por cada 100.000 habitantes</t>
  </si>
  <si>
    <t>Objetivo</t>
  </si>
  <si>
    <t>Tasa de lesiones personales por cada 100.000 habitantes</t>
  </si>
  <si>
    <t>Tasa de hurto a personas por cada 100.000 habitantes</t>
  </si>
  <si>
    <t>Porcentaje de personas que denunciaron el delito del que fueron víctima</t>
  </si>
  <si>
    <t>Número de ciudadanos atendidos en equipamientos de justicia del Distrito</t>
  </si>
  <si>
    <t>Número de incidentes atendidos por el Sistema de Emergencias Distrital</t>
  </si>
  <si>
    <t xml:space="preserve">Número de documentos de política pública elaborados
</t>
  </si>
  <si>
    <t>Producto</t>
  </si>
  <si>
    <t>Número de Campañas de difusión del Sistema Distrital de Justicia diseñadas e implementadas</t>
  </si>
  <si>
    <t>Número de Ciudadanos atendidos en  las Casas de Justicia</t>
  </si>
  <si>
    <t>Número de personas en situacion de conflicto atendidos por Unidades de Mediación y Conciliacion</t>
  </si>
  <si>
    <t>Número de Jóvenes que resuelven sus conflictos con la ley a través del Programa Distrital de Justicia Juvenil Restaurativa</t>
  </si>
  <si>
    <t>Número de Jóvenes con privación de la libertad atendidos integralmente</t>
  </si>
  <si>
    <t>Porcentaje mensual de Personas Privadas de la Libertad (Condenadas) capacitadas y ocupadas en la Cárcel Distrital</t>
  </si>
  <si>
    <t>Porcentaje mensual de Personas Privadas de la Libertad (Sindicadas) capacitadas y ocupadas en la Cárcel Distrital</t>
  </si>
  <si>
    <t>Número de medios de transporte entregados a los organismos de seguridad, defensa y justicia</t>
  </si>
  <si>
    <t>Número de nuevas cámaras instaladas en entornos de alta criminalidad de la ciudad</t>
  </si>
  <si>
    <t>Número de equipamientos de seguridad construidos y entregados</t>
  </si>
  <si>
    <t>Número de equipamientos de justicia construidos y/o adquiridos, debidamente entregados</t>
  </si>
  <si>
    <t>Número de equipamientos de seguridad, defensa y justicia a los cuales se realizó mantenimiento certificado</t>
  </si>
  <si>
    <t xml:space="preserve">Porcentaje de integración física de las agencias de seguridad y emergencia de la ciudad
</t>
  </si>
  <si>
    <t>Porcentaje de integración de la red de comunicaciones de las agencias de seguridad y emergencia de la ciudad</t>
  </si>
  <si>
    <t>Porcentaje de integración tecnológica de las agencias de seguridad y emergencia de la ciudad</t>
  </si>
  <si>
    <t>PROCESO</t>
  </si>
  <si>
    <t>Naturaleza:</t>
  </si>
  <si>
    <t>Tendencia:</t>
  </si>
  <si>
    <t>Estado:</t>
  </si>
  <si>
    <t xml:space="preserve">calidad: </t>
  </si>
  <si>
    <t>Seleccione de la Lista</t>
  </si>
  <si>
    <t>AJ - Acceso y Fortalecimiento a la Justicia</t>
  </si>
  <si>
    <t xml:space="preserve">Activo </t>
  </si>
  <si>
    <t xml:space="preserve">1. Formular y liderar la implementación de la política pública distrital para el mejoramiento de seguridad, convivencia y acceso a la justicia en Bogotá. </t>
  </si>
  <si>
    <t>AS - Atención y Servicio al Ciudadano</t>
  </si>
  <si>
    <t xml:space="preserve">2. tomar decisiones con base en información de altos estándares de calidad, materia de política y gestión de Seguridad, Convivencia y Acceso a la Justicia. </t>
  </si>
  <si>
    <t>CVS - Cárcel Distrital - Custodia y Vigilancia para la Seguridad</t>
  </si>
  <si>
    <t xml:space="preserve">Efectividad </t>
  </si>
  <si>
    <t xml:space="preserve">3. Fortalecer las capacidades de los organismos de seguridad y justicia del distrito a través de inversiones que mejoren sus capacidades y sus equipamientos para que sean más efectivos en sus acciones. </t>
  </si>
  <si>
    <t>AIB - Cárcel Distrital - Atención Integral para PPL</t>
  </si>
  <si>
    <t>Economía</t>
  </si>
  <si>
    <t xml:space="preserve">4. Diseñar e implementar acciones que permitan controlar y prevenir el delito, mejorar la convivencia en Bogotá, aumentar la confianza en las autoridades </t>
  </si>
  <si>
    <t>TJ - Cárcel Distrital - Tramite Jurídico para PPL</t>
  </si>
  <si>
    <t xml:space="preserve">5. Asegurar para los bogotanos el acceso a un Sistema Distrital de Justicia que se acerque al ciudadano con servicios de calidad y que articule la justicia formal, no formal y comunitaria. Así mismo, que oriente el sistema de responsabilidad penal para adolescentes para que prevenga de manera efectiva la vinculación de jóvenes y adolescentes en actividades delictivas. </t>
  </si>
  <si>
    <t>CID - Control Interno Disciplinario</t>
  </si>
  <si>
    <t xml:space="preserve">6. Integrar física y tecnológicamente las entidades del sistema de Emergencias distrital para dar una eficiente respuesta a la ciudadanía. </t>
  </si>
  <si>
    <t>DS - Direccionamiento Sectorial e Institucional</t>
  </si>
  <si>
    <t xml:space="preserve">7. Mejorar la coordinación con las entidades nacionales, regionales y distritales para el optimo desarrollo de la política de seguridad, convivencia y acceso a la justicia. </t>
  </si>
  <si>
    <t>FC - Fortalecimiento de Capacidades Operativas para la S, C y AJ</t>
  </si>
  <si>
    <t xml:space="preserve">8. Fortalecer la capacidad institucional y la gestión administrativa que permita el cumplimiento de la misión. </t>
  </si>
  <si>
    <t>GC - Gestión de Comunicaciones</t>
  </si>
  <si>
    <t>GE - Gestión de Emergencia</t>
  </si>
  <si>
    <t xml:space="preserve">Es conocer el porcentaje de llamadas que no llegan atenderse en un periodo determinado, del cual en un servicio de emergencias la tendencia de esta métrica es llegar a cero, con el fin de no perder llamadas que son importantes o prioritarias donde se puede tener involucrada la vida de un usuario.        </t>
  </si>
  <si>
    <t>FD - Gestión de Recursos Físicos y Documental</t>
  </si>
  <si>
    <t>GS - Gestión de Seguridad y Convivencia</t>
  </si>
  <si>
    <t>GT - Gestión de Tecnología de Información</t>
  </si>
  <si>
    <t>GF - Gestión Financiera</t>
  </si>
  <si>
    <t>GH - Gestión Humana</t>
  </si>
  <si>
    <t>JC - Gestión Jurídica y Contractual</t>
  </si>
  <si>
    <t>GI - Gestión y Análisis de la Información de S, C y AJ</t>
  </si>
  <si>
    <t>SM - Seguimiento y Monitoreo al Sistema de Control Interno</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</si>
  <si>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</si>
  <si>
    <t>}</t>
  </si>
  <si>
    <t>Falta análisis</t>
  </si>
  <si>
    <t>0</t>
  </si>
  <si>
    <t>Gestión Tecnológica de Seguridad y Emergecias</t>
  </si>
  <si>
    <t>Revisar</t>
  </si>
  <si>
    <t>(Todas)</t>
  </si>
  <si>
    <t xml:space="preserve">Cuenta de Resultado Acumulado
</t>
  </si>
  <si>
    <t>Etiquetas de columna</t>
  </si>
  <si>
    <t>Etiquetas de fila</t>
  </si>
  <si>
    <t>(en blanco)</t>
  </si>
  <si>
    <t>Total general</t>
  </si>
  <si>
    <t>Típologia y total de indicadores</t>
  </si>
  <si>
    <t>Nombre del proceso</t>
  </si>
  <si>
    <t>Estratégico
20</t>
  </si>
  <si>
    <t>Misional
19</t>
  </si>
  <si>
    <t xml:space="preserve">Objetivo </t>
  </si>
  <si>
    <t>Indicador</t>
  </si>
  <si>
    <t>Fórmula</t>
  </si>
  <si>
    <t>1. Formular y liderar la implementación de la política pública distrital para el mejoramiento de la seguridad, convivencia y acceso a la justicia en Bogotá</t>
  </si>
  <si>
    <t>Diseñar 100% el  Plan Integral de Seguridad, Convivencia y Justicia para Bogotá</t>
  </si>
  <si>
    <t>Porcentaje de avance en el diseño del Plan Integral de Seguridad, Convivencia y Justicia para Bogotá</t>
  </si>
  <si>
    <t>(# de Fases ejecutadas del diseño/# de Fases totales del diseño del PISCJ)*100</t>
  </si>
  <si>
    <t>Plan Integral de Seguridad, Convivencia y Justicia para Bogotá</t>
  </si>
  <si>
    <t>2. Tomar decisiones con base en información de altos estándares de calidad, en materia de política y gestión de Seguridad, Convivencia y Acceso a la Justicia</t>
  </si>
  <si>
    <t>Elaborar 20 documentos de política pública</t>
  </si>
  <si>
    <t>Número de documentos de política pública elaborados</t>
  </si>
  <si>
    <t># de documentos de política pública elaborados</t>
  </si>
  <si>
    <t>Documentos de política pública</t>
  </si>
  <si>
    <t>3. Fortalecer las capacidades de los organismos de seguridad y justicia del distrito a través de inversiones que mejoren sus capacidades y sus equipamientos para que sean más efectivos en sus acciones.</t>
  </si>
  <si>
    <t>Construir y/o adquirir  37 equipamientos de seguridad y justicia</t>
  </si>
  <si>
    <t>Número de equipamientos de seguridad y justicia construidos y/o adquiridos</t>
  </si>
  <si>
    <t># de equipamientos de seguridad y justicia construidos y/o adquiridos</t>
  </si>
  <si>
    <t xml:space="preserve">Equipamientos de seguridad y justicia </t>
  </si>
  <si>
    <t>Adquirir  3.847 medios de transporte para el fortalecimiento de los organismos de seguridad, defensa y justicia</t>
  </si>
  <si>
    <t>Número de medios de transporte adquiridos para el fortalecimiento de los organismos de seguridad, defensa y justicia</t>
  </si>
  <si>
    <t># de medios de transporte adquiridos</t>
  </si>
  <si>
    <t xml:space="preserve"> Medios de transporte adquiridos para el fortalecimiento de los organismos de seguridad, defensa y justicia</t>
  </si>
  <si>
    <t>Incrementar la capacidad de video vigilancia de la ciudad a 4.000 cámaras instaladas y en funcionamiento</t>
  </si>
  <si>
    <t># de nuevas cámaras instaladas en entornos de alta criminalidad de la ciudad</t>
  </si>
  <si>
    <t>Cámaras instaladas en entornos de alta criminalidad de la ciudad</t>
  </si>
  <si>
    <t xml:space="preserve">Adquirir 545 equipos técnicos de inteligencia e investigación criminal para los organismos de seguridad y defensa de la ciudad </t>
  </si>
  <si>
    <t>Número de equipos técnicos de inteligencia e investigación criminal adquiridos para los organismos de seguridad y defensa de la ciudad</t>
  </si>
  <si>
    <t># de equipos técnicos de inteligencia e investigación criminal adquiridos</t>
  </si>
  <si>
    <t>Equipos técnicos de inteligencia e investigación criminal para los organismos de seguridad y defensa de la ciudad</t>
  </si>
  <si>
    <t>Adquirir 2.532 equipos de cómputo y/o tecnológicos para los organismos de seguridad y defensa</t>
  </si>
  <si>
    <t>Número de equipos de cómputo y/o tecnológicos adquiridos para los organismos de seguridad y defensa</t>
  </si>
  <si>
    <t># de equipos de cómputo y/o tecnológicos adquiridos</t>
  </si>
  <si>
    <t>Equipos de cómputo y/o tecnológicos para los organismos de seguridad y defensa</t>
  </si>
  <si>
    <t>4. Diseñar e implementar acciones que permitan controlar y prevenir el delito, mejorar la convivencia en Bogotá, aumentar la confianza en las autoridades y generar una mayor corresponsabilidad ciudadana en la gestión de la seguridad y la convivencia.</t>
  </si>
  <si>
    <t>Implementar 100% una estrategia de prevención del delito a través de intervenciones sociales y situacionales y la promoción de la cultura ciudadana, en el marco del PISCJ</t>
  </si>
  <si>
    <t>Porcentaje de avance de la Implementación de una estrategia de prevención del delito</t>
  </si>
  <si>
    <t>(# de fases implementadas / # de fases propuestas) * 100</t>
  </si>
  <si>
    <t>Estrategia de prevención del delito implementada</t>
  </si>
  <si>
    <t>Implementar 100% una estrategia de control del delito por medio del fortalecimiento de la investigación judicial y criminal , la cualificación de las entidades de seguridad y la coordinación de acciones interinstitucionales</t>
  </si>
  <si>
    <t>Porcentaje de avance de la Implementación de una estrategia de control del delito</t>
  </si>
  <si>
    <t>Estrategia de control del delito implementada</t>
  </si>
  <si>
    <t>5. 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t>
  </si>
  <si>
    <t>Ampliar en un 20% el número de ciudadanos atendidos en los equipamientos de justicia del Distrito</t>
  </si>
  <si>
    <t>Porcentaje de incremento en el número de ciudadanos atendidos en equipamientos de justicia del Distrito</t>
  </si>
  <si>
    <t>(# de ciudadanos atendidos - # de ciudadanos atendidos en el 2015) / # de ciudadanos atendidos en el 2015</t>
  </si>
  <si>
    <t>Ciudadanos atendidos en equipamientos de justicia del Distrito</t>
  </si>
  <si>
    <t>Diseñar e implementar en un 100% el Modelo de Atención Restaurativo en los equipamientos de justicia del Distrito</t>
  </si>
  <si>
    <t>Porcentaje de implementación de un Modelo de Atención Restaurativo</t>
  </si>
  <si>
    <t>Modelo de Atención Restaurativo</t>
  </si>
  <si>
    <t>.Atender 400 Jóvenes en conflicto con la ley a través del Programa Distrital de Justicia Juvenil Restaurativa</t>
  </si>
  <si>
    <t># de Jóvenes que resuelven sus conflictos con la ley a través del Programa Distrital de Justicia Juvenil Restaurativa</t>
  </si>
  <si>
    <t>Jóvenes que resuelven sus conflictos con la ley a través del Programa Distrital de Justicia Juvenil Restaurativa</t>
  </si>
  <si>
    <t>Ampliar en un 15% en número de adolescentes sancionados con privación de la libertad que son atendidos integralmente</t>
  </si>
  <si>
    <t>Porcentaje de incremento en el número de adolescentes sancionados con privación de la libertad que son atendidos integralmente</t>
  </si>
  <si>
    <t>Adolescentes sancionados con privación de la libertad que son atendidos integralmente</t>
  </si>
  <si>
    <t>Implementar el 100% del Modelo de Atención diferencial para adolescentes y jóvenes que ingresan al SRPA</t>
  </si>
  <si>
    <t>Porcentaje de implementación del modelo de atención diferencial para adolescentes y jóvenes que ingresan al SRPA</t>
  </si>
  <si>
    <t>Modelo de Atención diferencial para adolescentes y jóvenes que ingresan al SRPA</t>
  </si>
  <si>
    <t>Brindar atención integral al 100% de la población privada de la libertad en la Cárcel Distrital de Varones y el Anexo de Mujeres, y garantizar su adecuada operación</t>
  </si>
  <si>
    <t xml:space="preserve">Porcentaje de la población privada de la libertad en la Cárcel Distrital de varones y anexo de mujeres que son atendidos integralmente </t>
  </si>
  <si>
    <t>(Población privada de la libertad en la Cárcel Distrital atendida integralmente 2016-2020 / Población privada de la libertad en la Cárcel Distrital en el mismo periodo) * 100</t>
  </si>
  <si>
    <t xml:space="preserve">Población privada de la libertad en la Cárcel Distrital de varones y anexo de mujeres atendidos integralmente </t>
  </si>
  <si>
    <t>Diseñar e implementar 5 campañas De difusión que den cuenta del impacto de la aplicación del Código Nacional de Policía en poblaciones consideradas sujeto de especial protección (LGBTI, adolescentes y jóvenes, habitantes de/en calle,</t>
  </si>
  <si>
    <t xml:space="preserve">Número de Campañas de difusión </t>
  </si>
  <si>
    <t xml:space="preserve"># de Campañas de difusión </t>
  </si>
  <si>
    <t xml:space="preserve">Campañas de difusión </t>
  </si>
  <si>
    <t>6. Integrar física y tecnológicamente las entidades del Sistema de Emergencias distrital para dar una eficiente respuesta a la ciudadanía</t>
  </si>
  <si>
    <t>Efectuar 100% la integración física de las agencias de seguridad y emergencia de la ciudad</t>
  </si>
  <si>
    <t>Porcentaje de integración física de las agencias de seguridad y emergencia de la ciudad</t>
  </si>
  <si>
    <t>(# de fases de integración ejecutadas / # de fases totales de integración)*100</t>
  </si>
  <si>
    <t>Integración física de las agencias de seguridad y emergencia de la ciudad</t>
  </si>
  <si>
    <t>Efectuar 100% la integración tecnológica de las agencias de seguridad y emergencia de la ciudad</t>
  </si>
  <si>
    <t>Integración tecnológica de las agencias de seguridad y emergencia de la ciudad</t>
  </si>
  <si>
    <t>Efectuar 100% la integración de la red de comunicaciones de las agencias de seguridad y emergencia de la ciudad</t>
  </si>
  <si>
    <t>Integración de la red de comunicaciones de las agencias de seguridad y emergencia de la ciudad</t>
  </si>
  <si>
    <t>7. Mejorar la coordinación con las entidades nacionales, regionales y distritales para el óptimo desarrollo de la política de Seguridad, Convivencia y Acceso a la Justicia</t>
  </si>
  <si>
    <t>Implementar el 100% del modelo de articulación de los operadores de justicia formal, no formal y comunitaria presentes en la ciudad, en sus fases de diseño, implementación, monitoreo y evaluación</t>
  </si>
  <si>
    <t>Porcentaje de implementación del modelo de articulación de los operadores de justicia formal, no formal y comunitaria presentes en la ciudad</t>
  </si>
  <si>
    <t>Modelo de articulación de los operadores de justicia formal, no formal y comunitaria presentes en la ciudad</t>
  </si>
  <si>
    <t>8. Fortalecer la capacidad Institucional y la gestión administrativa que permita el cumplimiento de la misión institucional</t>
  </si>
  <si>
    <t>Porcentaje de intervención en infraestructura física, dotacional y administrativa</t>
  </si>
  <si>
    <t>(# de actividades de intervención ejecutadas / # de actividades de intervención programadas)*100</t>
  </si>
  <si>
    <t>Mejoramiento de la infraestructura física, dotacional y administrativa</t>
  </si>
  <si>
    <t>Implementar 100% una estrategia de transparencia, cultura ciudadana y legalidad en el marco de la política Distrital de Transparencia y Lucha contra la corrupción</t>
  </si>
  <si>
    <t>Porcentaje de  implementación de la estrategia de transparencia,  cultura ciudadana y legalidad</t>
  </si>
  <si>
    <t>Estrategia de transparencia, cultura ciudadana y legalidad en el marco de la política Distrital de Transparencia y Lucha contra la corrupción</t>
  </si>
  <si>
    <t>Implementar 100% el Modelo Integrado de Planeación y Gestión - MIPG de la Secretaría Distrital de Seguridad, Convivencia y Justicia</t>
  </si>
  <si>
    <t>Porcentaje de implementación del MIPG al interior de la Secretaría Distrital de Seguridad, Convivencia y Justicia</t>
  </si>
  <si>
    <t>(# de Dimensiones implementadas / # de Dimensiones del MIPG) * 100</t>
  </si>
  <si>
    <t>MIPG</t>
  </si>
  <si>
    <t xml:space="preserve"> implementado</t>
  </si>
  <si>
    <t>Implementar o fortalecer 5 sistemas de información  para soportar los procesos, procedimientos  trámites y servicios de la SCJ</t>
  </si>
  <si>
    <t>Sistemas de información implementados</t>
  </si>
  <si>
    <t>No. de procesos trámites y servicios con sistemas de información implementados /No. De procesos, trámites y servicios que requieren sistemas de información  * 100</t>
  </si>
  <si>
    <t>Sistemas de información para soportar los procesos, procedimientos  trámites y servicios de la SCJ implementados, o fortalecidos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</si>
</sst>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00%"/>
  </numFmts>
  <fonts count="38" x14ac:knownFonts="1">
    <font>
      <sz val="11"/>
      <color theme="1"/>
      <name val="Calibri"/>
      <family val="2"/>
      <scheme val="minor"/>
    </font>
    <font>
      <sz val="8"/>
      <color theme="1"/>
      <name val="Arial Narrow"/>
      <family val="2"/>
    </font>
    <font>
      <b/>
      <sz val="9"/>
      <color indexed="81"/>
      <name val="Tahoma"/>
      <family val="2"/>
    </font>
    <font>
      <b/>
      <sz val="11"/>
      <color theme="1"/>
      <name val="Calibri"/>
      <family val="2"/>
      <scheme val="minor"/>
    </font>
    <font>
      <sz val="11"/>
      <color theme="1"/>
      <name val="Arial Narrow"/>
      <family val="2"/>
    </font>
    <font>
      <b/>
      <sz val="10"/>
      <name val="Arial Narrow"/>
      <family val="2"/>
    </font>
    <font>
      <sz val="10"/>
      <color theme="1"/>
      <name val="Arial Narrow"/>
      <family val="2"/>
    </font>
    <font>
      <sz val="10"/>
      <color rgb="FF000000"/>
      <name val="Arial Narrow"/>
      <family val="2"/>
    </font>
    <font>
      <sz val="10"/>
      <name val="Arial"/>
      <family val="2"/>
    </font>
    <font>
      <sz val="10"/>
      <name val="Arial Narrow"/>
      <family val="2"/>
    </font>
    <font>
      <sz val="10"/>
      <color rgb="FFFF0000"/>
      <name val="Arial Narrow"/>
      <family val="2"/>
    </font>
    <font>
      <b/>
      <sz val="10"/>
      <color rgb="FFFF0000"/>
      <name val="Arial Narrow"/>
      <family val="2"/>
    </font>
    <font>
      <b/>
      <sz val="11"/>
      <color theme="1"/>
      <name val="Arial Narrow"/>
      <family val="2"/>
    </font>
    <font>
      <sz val="11"/>
      <color theme="1"/>
      <name val="Calibri"/>
      <family val="2"/>
      <scheme val="minor"/>
    </font>
    <font>
      <sz val="11"/>
      <name val="Calibri"/>
      <family val="2"/>
      <scheme val="minor"/>
    </font>
    <font>
      <b/>
      <sz val="10"/>
      <name val="Arial"/>
      <family val="2"/>
    </font>
    <font>
      <sz val="10"/>
      <color rgb="FF222222"/>
      <name val="Arial"/>
      <family val="2"/>
    </font>
    <font>
      <b/>
      <sz val="8"/>
      <color theme="1"/>
      <name val="Arial Narrow"/>
      <family val="2"/>
    </font>
    <font>
      <sz val="7"/>
      <color rgb="FF000000"/>
      <name val="Calibri"/>
      <family val="2"/>
      <scheme val="minor"/>
    </font>
    <font>
      <sz val="14"/>
      <name val="Arial Narrow"/>
      <family val="2"/>
    </font>
    <font>
      <b/>
      <sz val="14"/>
      <color theme="0"/>
      <name val="Arial Narrow"/>
      <family val="2"/>
    </font>
    <font>
      <b/>
      <sz val="14"/>
      <name val="Arial Narrow"/>
      <family val="2"/>
    </font>
    <font>
      <sz val="14"/>
      <color theme="1"/>
      <name val="Arial Narrow"/>
      <family val="2"/>
    </font>
    <font>
      <sz val="8"/>
      <color theme="0"/>
      <name val="Arial Narrow"/>
      <family val="2"/>
    </font>
    <font>
      <b/>
      <sz val="9"/>
      <color theme="1"/>
      <name val="Arial Narrow"/>
      <family val="2"/>
    </font>
    <font>
      <sz val="8"/>
      <color rgb="FF000000"/>
      <name val="Arial Narrow"/>
      <family val="2"/>
    </font>
    <font>
      <sz val="11"/>
      <name val="Arial"/>
      <family val="2"/>
    </font>
    <font>
      <b/>
      <sz val="8"/>
      <name val="Arial Narrow"/>
      <family val="2"/>
    </font>
    <font>
      <sz val="9"/>
      <color theme="1"/>
      <name val="Arial Narrow"/>
      <family val="2"/>
    </font>
    <font>
      <sz val="9"/>
      <color indexed="81"/>
      <name val="Tahoma"/>
      <family val="2"/>
    </font>
    <font>
      <sz val="8"/>
      <color rgb="FFFF0000"/>
      <name val="Arial Narrow"/>
      <family val="2"/>
    </font>
    <font>
      <b/>
      <sz val="20"/>
      <color theme="1"/>
      <name val="Arial"/>
      <family val="2"/>
    </font>
    <font>
      <sz val="18"/>
      <color theme="1"/>
      <name val="Arial"/>
      <family val="2"/>
    </font>
    <font>
      <sz val="8"/>
      <color rgb="FF000000"/>
      <name val="Arial Narrow"/>
      <charset val="1"/>
    </font>
    <font>
      <sz val="8"/>
      <color theme="1"/>
      <name val="Arial Narrow"/>
    </font>
    <font>
      <b/>
      <sz val="10"/>
      <color theme="0"/>
      <name val="Arial"/>
      <family val="2"/>
    </font>
    <font>
      <sz val="10"/>
      <color theme="1"/>
      <name val="Arial"/>
      <family val="2"/>
    </font>
    <font>
      <b/>
      <sz val="10"/>
      <color theme="1"/>
      <name val="Arial"/>
      <family val="2"/>
    </font>
  </fonts>
  <fills count="22">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BDD7EE"/>
        <bgColor indexed="64"/>
      </patternFill>
    </fill>
    <fill>
      <patternFill patternType="solid">
        <fgColor indexed="9"/>
        <bgColor indexed="64"/>
      </patternFill>
    </fill>
    <fill>
      <patternFill patternType="solid">
        <fgColor rgb="FF0070C0"/>
        <bgColor indexed="64"/>
      </patternFill>
    </fill>
    <fill>
      <patternFill patternType="solid">
        <fgColor rgb="FF70AD47"/>
        <bgColor indexed="64"/>
      </patternFill>
    </fill>
    <fill>
      <patternFill patternType="solid">
        <fgColor theme="9"/>
        <bgColor indexed="64"/>
      </patternFill>
    </fill>
    <fill>
      <patternFill patternType="solid">
        <fgColor theme="5"/>
        <bgColor indexed="64"/>
      </patternFill>
    </fill>
    <fill>
      <patternFill patternType="solid">
        <fgColor theme="4"/>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7"/>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4" tint="0.79998168889431442"/>
        <bgColor theme="4" tint="0.79998168889431442"/>
      </patternFill>
    </fill>
    <fill>
      <patternFill patternType="solid">
        <fgColor theme="6" tint="-0.249977111117893"/>
        <bgColor indexed="64"/>
      </patternFill>
    </fill>
    <fill>
      <patternFill patternType="solid">
        <fgColor rgb="FFCC0066"/>
        <bgColor indexed="64"/>
      </patternFill>
    </fill>
    <fill>
      <patternFill patternType="solid">
        <fgColor rgb="FFCC0066"/>
        <bgColor theme="4" tint="0.79998168889431442"/>
      </patternFill>
    </fill>
  </fills>
  <borders count="4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right/>
      <top/>
      <bottom style="thin">
        <color theme="4" tint="0.3999755851924192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6">
    <xf numFmtId="0" fontId="0" fillId="0" borderId="0"/>
    <xf numFmtId="0" fontId="8" fillId="0" borderId="0"/>
    <xf numFmtId="9" fontId="13" fillId="0" borderId="0" applyFont="0" applyFill="0" applyBorder="0" applyAlignment="0" applyProtection="0"/>
    <xf numFmtId="41" fontId="13" fillId="0" borderId="0" applyFont="0" applyFill="0" applyBorder="0" applyAlignment="0" applyProtection="0"/>
    <xf numFmtId="9" fontId="8" fillId="0" borderId="0" applyFont="0" applyFill="0" applyBorder="0" applyAlignment="0" applyProtection="0"/>
    <xf numFmtId="0" fontId="8" fillId="0" borderId="0"/>
  </cellStyleXfs>
  <cellXfs count="427">
    <xf numFmtId="0" fontId="0" fillId="0" borderId="0" xfId="0"/>
    <xf numFmtId="0" fontId="1" fillId="0" borderId="1" xfId="0" applyFont="1" applyBorder="1" applyAlignment="1">
      <alignment vertical="center"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top" wrapText="1"/>
    </xf>
    <xf numFmtId="0" fontId="1" fillId="0" borderId="0" xfId="0" applyFont="1" applyAlignment="1">
      <alignment vertical="top" wrapText="1"/>
    </xf>
    <xf numFmtId="0" fontId="6" fillId="0" borderId="0" xfId="0" applyFont="1"/>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hidden="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9" fillId="0" borderId="1" xfId="1" applyFont="1" applyBorder="1" applyAlignment="1">
      <alignment horizontal="justify" vertical="center" wrapText="1"/>
    </xf>
    <xf numFmtId="0" fontId="9" fillId="0" borderId="1" xfId="0" applyFont="1" applyBorder="1" applyAlignment="1" applyProtection="1">
      <alignment horizontal="justify" vertical="center" wrapText="1"/>
      <protection hidden="1"/>
    </xf>
    <xf numFmtId="0" fontId="12" fillId="0" borderId="1"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vertical="center"/>
    </xf>
    <xf numFmtId="9" fontId="1" fillId="0" borderId="1" xfId="2" applyFont="1" applyBorder="1" applyAlignment="1">
      <alignment horizontal="center" vertical="center" wrapText="1"/>
    </xf>
    <xf numFmtId="9" fontId="1" fillId="0" borderId="1" xfId="2" applyFont="1" applyBorder="1" applyAlignment="1">
      <alignment wrapText="1"/>
    </xf>
    <xf numFmtId="0" fontId="1" fillId="2" borderId="1" xfId="0" applyFont="1" applyFill="1" applyBorder="1" applyAlignment="1">
      <alignment wrapText="1"/>
    </xf>
    <xf numFmtId="1" fontId="1" fillId="0" borderId="1" xfId="0" applyNumberFormat="1" applyFont="1" applyBorder="1" applyAlignment="1">
      <alignment wrapText="1"/>
    </xf>
    <xf numFmtId="0" fontId="1" fillId="2" borderId="1" xfId="0" applyFont="1" applyFill="1" applyBorder="1" applyAlignment="1">
      <alignment horizontal="center" vertical="center" wrapText="1"/>
    </xf>
    <xf numFmtId="0" fontId="0" fillId="0" borderId="0" xfId="0" applyAlignment="1">
      <alignment wrapText="1"/>
    </xf>
    <xf numFmtId="0" fontId="0" fillId="0" borderId="1" xfId="0" applyBorder="1" applyAlignment="1">
      <alignment wrapText="1"/>
    </xf>
    <xf numFmtId="0" fontId="0" fillId="0" borderId="1" xfId="0" applyBorder="1" applyAlignment="1">
      <alignment horizontal="justify" vertical="center" wrapText="1"/>
    </xf>
    <xf numFmtId="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1" fillId="0" borderId="18" xfId="0" applyFont="1" applyBorder="1" applyAlignment="1">
      <alignment wrapText="1"/>
    </xf>
    <xf numFmtId="0" fontId="1" fillId="0" borderId="19" xfId="0" applyFont="1" applyBorder="1" applyAlignment="1">
      <alignment wrapText="1"/>
    </xf>
    <xf numFmtId="0" fontId="1" fillId="0" borderId="19" xfId="0" applyFont="1" applyBorder="1" applyAlignment="1">
      <alignment vertical="top" wrapText="1"/>
    </xf>
    <xf numFmtId="0" fontId="1" fillId="0" borderId="20" xfId="0" applyFont="1" applyBorder="1" applyAlignment="1">
      <alignment wrapText="1"/>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5" fillId="0" borderId="0" xfId="1" applyFont="1" applyAlignment="1">
      <alignment wrapText="1"/>
    </xf>
    <xf numFmtId="0" fontId="15" fillId="0" borderId="0" xfId="1" applyFont="1" applyAlignment="1">
      <alignment vertical="top" wrapText="1"/>
    </xf>
    <xf numFmtId="0" fontId="8" fillId="0" borderId="0" xfId="1" applyAlignment="1">
      <alignment wrapText="1"/>
    </xf>
    <xf numFmtId="0" fontId="8" fillId="0" borderId="0" xfId="1" applyAlignment="1">
      <alignment vertical="top" wrapText="1"/>
    </xf>
    <xf numFmtId="0" fontId="16" fillId="0" borderId="0" xfId="1" applyFont="1" applyAlignment="1">
      <alignment vertical="top" wrapText="1"/>
    </xf>
    <xf numFmtId="164" fontId="8" fillId="0" borderId="0" xfId="1" applyNumberFormat="1" applyAlignment="1">
      <alignment vertical="top" wrapText="1"/>
    </xf>
    <xf numFmtId="10" fontId="0" fillId="0" borderId="0" xfId="4" applyNumberFormat="1" applyFont="1" applyAlignment="1">
      <alignment wrapText="1"/>
    </xf>
    <xf numFmtId="10" fontId="0" fillId="0" borderId="0" xfId="4" applyNumberFormat="1" applyFont="1" applyAlignment="1">
      <alignment vertical="top"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1" fillId="0" borderId="21" xfId="0" applyFont="1" applyBorder="1" applyAlignment="1">
      <alignment wrapText="1"/>
    </xf>
    <xf numFmtId="9" fontId="1" fillId="0" borderId="19" xfId="0" applyNumberFormat="1" applyFont="1" applyBorder="1" applyAlignment="1">
      <alignment horizontal="center" vertical="center" wrapText="1"/>
    </xf>
    <xf numFmtId="0" fontId="1" fillId="4" borderId="1" xfId="0" applyFont="1" applyFill="1" applyBorder="1" applyAlignment="1">
      <alignment wrapText="1"/>
    </xf>
    <xf numFmtId="0" fontId="1" fillId="3" borderId="1" xfId="0" applyFont="1" applyFill="1" applyBorder="1" applyAlignment="1">
      <alignment wrapText="1"/>
    </xf>
    <xf numFmtId="1" fontId="1" fillId="0" borderId="1" xfId="2" applyNumberFormat="1" applyFont="1" applyBorder="1" applyAlignment="1">
      <alignment horizontal="center" vertical="center" wrapText="1"/>
    </xf>
    <xf numFmtId="9" fontId="1" fillId="0" borderId="1" xfId="2" applyFont="1" applyFill="1" applyBorder="1" applyAlignment="1">
      <alignment horizontal="center" vertical="center" wrapText="1"/>
    </xf>
    <xf numFmtId="10" fontId="1" fillId="0" borderId="1" xfId="2"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1" fillId="0" borderId="1" xfId="3" applyNumberFormat="1" applyFont="1" applyFill="1" applyBorder="1" applyAlignment="1">
      <alignment horizontal="center" vertical="center" wrapText="1"/>
    </xf>
    <xf numFmtId="1" fontId="1" fillId="0" borderId="1" xfId="2" applyNumberFormat="1" applyFont="1" applyBorder="1" applyAlignment="1">
      <alignment wrapText="1"/>
    </xf>
    <xf numFmtId="10" fontId="1" fillId="0" borderId="1" xfId="0" applyNumberFormat="1" applyFont="1" applyBorder="1" applyAlignment="1">
      <alignment wrapText="1"/>
    </xf>
    <xf numFmtId="0" fontId="18" fillId="0" borderId="0" xfId="0" applyFont="1" applyAlignment="1">
      <alignment horizontal="justify" vertical="center" readingOrder="1"/>
    </xf>
    <xf numFmtId="0" fontId="22" fillId="0" borderId="0" xfId="0" applyFont="1" applyAlignment="1">
      <alignment wrapText="1"/>
    </xf>
    <xf numFmtId="0" fontId="1" fillId="0" borderId="1" xfId="0" applyFont="1" applyBorder="1" applyAlignment="1">
      <alignment horizontal="center" vertical="top" wrapText="1"/>
    </xf>
    <xf numFmtId="0" fontId="1" fillId="3" borderId="1" xfId="0" applyFont="1" applyFill="1" applyBorder="1" applyAlignment="1">
      <alignment horizontal="center" vertical="center" wrapText="1"/>
    </xf>
    <xf numFmtId="0" fontId="1" fillId="0" borderId="1" xfId="0" applyFont="1" applyBorder="1" applyAlignment="1">
      <alignment horizontal="right" wrapText="1"/>
    </xf>
    <xf numFmtId="1" fontId="1" fillId="0" borderId="0" xfId="0" applyNumberFormat="1" applyFont="1" applyAlignment="1">
      <alignment wrapText="1"/>
    </xf>
    <xf numFmtId="0" fontId="23" fillId="0" borderId="1" xfId="0" applyFont="1" applyBorder="1" applyAlignment="1">
      <alignment horizontal="center" vertical="center" wrapText="1"/>
    </xf>
    <xf numFmtId="0" fontId="1" fillId="0" borderId="0" xfId="0" applyFont="1" applyAlignment="1">
      <alignment vertical="center" wrapText="1"/>
    </xf>
    <xf numFmtId="0" fontId="1" fillId="0" borderId="1" xfId="0" applyFont="1" applyBorder="1" applyAlignment="1">
      <alignment horizontal="left" vertical="center" wrapText="1"/>
    </xf>
    <xf numFmtId="1" fontId="1" fillId="0" borderId="1" xfId="0" applyNumberFormat="1" applyFont="1" applyBorder="1" applyAlignment="1">
      <alignment horizontal="left" vertical="center" wrapText="1"/>
    </xf>
    <xf numFmtId="1" fontId="1" fillId="0" borderId="0" xfId="0" applyNumberFormat="1"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center" wrapText="1"/>
    </xf>
    <xf numFmtId="0" fontId="1" fillId="0" borderId="18" xfId="0" applyFont="1" applyBorder="1" applyAlignment="1">
      <alignment horizontal="center" vertical="center" wrapText="1"/>
    </xf>
    <xf numFmtId="1" fontId="1" fillId="0" borderId="0" xfId="0" applyNumberFormat="1" applyFont="1" applyAlignment="1">
      <alignment horizontal="center" vertical="center" wrapText="1"/>
    </xf>
    <xf numFmtId="0" fontId="24" fillId="8"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164" fontId="1" fillId="0" borderId="1" xfId="2" applyNumberFormat="1" applyFont="1" applyBorder="1" applyAlignment="1">
      <alignment horizontal="center" vertical="center" wrapText="1"/>
    </xf>
    <xf numFmtId="0" fontId="1" fillId="0" borderId="7" xfId="0" applyFont="1" applyBorder="1" applyAlignment="1">
      <alignment horizontal="center" vertical="center" wrapText="1"/>
    </xf>
    <xf numFmtId="9" fontId="1" fillId="0" borderId="0" xfId="2" applyFont="1" applyBorder="1" applyAlignment="1">
      <alignment horizontal="center" vertical="center" wrapText="1"/>
    </xf>
    <xf numFmtId="0" fontId="1" fillId="4" borderId="0" xfId="0" applyFont="1" applyFill="1" applyAlignment="1">
      <alignment wrapText="1"/>
    </xf>
    <xf numFmtId="0" fontId="25" fillId="0" borderId="1" xfId="0" applyFont="1" applyBorder="1" applyAlignment="1">
      <alignment wrapText="1"/>
    </xf>
    <xf numFmtId="0" fontId="25" fillId="0" borderId="1" xfId="0" applyFont="1" applyBorder="1" applyAlignment="1">
      <alignment horizontal="center" vertical="center" wrapText="1"/>
    </xf>
    <xf numFmtId="0" fontId="1" fillId="12" borderId="1" xfId="0" applyFont="1" applyFill="1" applyBorder="1" applyAlignment="1">
      <alignment vertical="center" wrapText="1"/>
    </xf>
    <xf numFmtId="9" fontId="1" fillId="0" borderId="0" xfId="0" applyNumberFormat="1" applyFont="1" applyAlignment="1">
      <alignment horizontal="center" vertical="center" wrapText="1"/>
    </xf>
    <xf numFmtId="9" fontId="1" fillId="0" borderId="0" xfId="2" applyFont="1" applyFill="1" applyBorder="1" applyAlignment="1">
      <alignment horizontal="center" vertical="center" wrapText="1"/>
    </xf>
    <xf numFmtId="0" fontId="23" fillId="0" borderId="0" xfId="0" applyFont="1" applyAlignment="1">
      <alignment horizontal="center" vertical="center" wrapText="1"/>
    </xf>
    <xf numFmtId="0" fontId="1" fillId="0" borderId="22" xfId="0" applyFont="1" applyBorder="1" applyAlignment="1">
      <alignment vertical="center" wrapText="1"/>
    </xf>
    <xf numFmtId="0" fontId="1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14" fillId="5" borderId="1" xfId="1" applyFont="1" applyFill="1" applyBorder="1" applyAlignment="1">
      <alignment horizontal="center" vertical="center" wrapText="1"/>
    </xf>
    <xf numFmtId="164" fontId="1" fillId="0" borderId="1" xfId="2" applyNumberFormat="1" applyFont="1" applyFill="1" applyBorder="1" applyAlignment="1">
      <alignment horizontal="center" vertical="center" wrapText="1"/>
    </xf>
    <xf numFmtId="10" fontId="1" fillId="0" borderId="1" xfId="2" applyNumberFormat="1" applyFont="1" applyFill="1" applyBorder="1" applyAlignment="1">
      <alignment horizontal="center" vertical="center" wrapText="1"/>
    </xf>
    <xf numFmtId="14" fontId="1" fillId="0" borderId="18" xfId="0" applyNumberFormat="1" applyFont="1" applyBorder="1" applyAlignment="1">
      <alignment vertical="center" wrapText="1"/>
    </xf>
    <xf numFmtId="1" fontId="1" fillId="0" borderId="1" xfId="2" applyNumberFormat="1" applyFont="1" applyFill="1" applyBorder="1" applyAlignment="1">
      <alignment vertical="center" wrapText="1"/>
    </xf>
    <xf numFmtId="9" fontId="1" fillId="0" borderId="1" xfId="2" applyFont="1" applyFill="1" applyBorder="1" applyAlignment="1">
      <alignment vertical="center" wrapText="1"/>
    </xf>
    <xf numFmtId="2" fontId="1" fillId="0" borderId="1" xfId="2" applyNumberFormat="1" applyFont="1" applyFill="1" applyBorder="1" applyAlignment="1">
      <alignment horizontal="center" vertical="center" wrapText="1"/>
    </xf>
    <xf numFmtId="9" fontId="27" fillId="9" borderId="1" xfId="2" applyFont="1" applyFill="1" applyBorder="1" applyAlignment="1">
      <alignment horizontal="center" vertical="center" wrapText="1"/>
    </xf>
    <xf numFmtId="9" fontId="1" fillId="3" borderId="1" xfId="0" applyNumberFormat="1" applyFont="1" applyFill="1" applyBorder="1" applyAlignment="1">
      <alignment horizontal="center" vertical="center" wrapText="1"/>
    </xf>
    <xf numFmtId="0" fontId="28" fillId="0" borderId="1" xfId="0" applyFont="1" applyBorder="1" applyAlignment="1">
      <alignment horizontal="left" vertical="center" wrapText="1"/>
    </xf>
    <xf numFmtId="10" fontId="1" fillId="0" borderId="0" xfId="2" applyNumberFormat="1" applyFont="1" applyFill="1" applyBorder="1" applyAlignment="1">
      <alignment horizontal="center" vertical="center" wrapText="1"/>
    </xf>
    <xf numFmtId="14" fontId="1" fillId="0" borderId="0" xfId="0" applyNumberFormat="1" applyFont="1" applyAlignment="1">
      <alignment vertical="center" wrapText="1"/>
    </xf>
    <xf numFmtId="0" fontId="1" fillId="0" borderId="23" xfId="0" applyFont="1" applyBorder="1" applyAlignment="1">
      <alignment horizontal="center" vertical="center" wrapText="1"/>
    </xf>
    <xf numFmtId="0" fontId="1" fillId="13" borderId="1" xfId="0" applyFont="1" applyFill="1" applyBorder="1" applyAlignment="1">
      <alignment horizontal="center" vertical="center" wrapText="1"/>
    </xf>
    <xf numFmtId="9" fontId="1" fillId="0" borderId="0" xfId="2" applyFont="1" applyAlignment="1">
      <alignment horizontal="center" vertical="center" wrapText="1"/>
    </xf>
    <xf numFmtId="1" fontId="1" fillId="0" borderId="1" xfId="2"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0" fontId="1" fillId="11" borderId="1" xfId="0" applyFont="1" applyFill="1" applyBorder="1" applyAlignment="1">
      <alignment horizontal="center" vertical="center" wrapText="1"/>
    </xf>
    <xf numFmtId="0" fontId="1" fillId="11" borderId="1" xfId="0" applyFont="1" applyFill="1" applyBorder="1" applyAlignment="1">
      <alignment wrapText="1"/>
    </xf>
    <xf numFmtId="0" fontId="1" fillId="11" borderId="1" xfId="0" applyFont="1" applyFill="1" applyBorder="1" applyAlignment="1">
      <alignment horizontal="center" wrapText="1"/>
    </xf>
    <xf numFmtId="165" fontId="1" fillId="0" borderId="1" xfId="2" applyNumberFormat="1" applyFont="1" applyFill="1" applyBorder="1" applyAlignment="1">
      <alignment wrapText="1"/>
    </xf>
    <xf numFmtId="0" fontId="1" fillId="14" borderId="1" xfId="0" applyFont="1" applyFill="1" applyBorder="1" applyAlignment="1">
      <alignment horizontal="center" vertical="center" wrapText="1"/>
    </xf>
    <xf numFmtId="2" fontId="1" fillId="0" borderId="1" xfId="2" applyNumberFormat="1" applyFont="1" applyBorder="1" applyAlignment="1">
      <alignment horizontal="center" vertical="center" wrapText="1"/>
    </xf>
    <xf numFmtId="1" fontId="1" fillId="0" borderId="0" xfId="0" applyNumberFormat="1" applyFont="1" applyAlignment="1">
      <alignment horizontal="center" wrapText="1"/>
    </xf>
    <xf numFmtId="0" fontId="1" fillId="11" borderId="1" xfId="0" applyFont="1" applyFill="1" applyBorder="1" applyAlignment="1">
      <alignment vertical="center" wrapText="1"/>
    </xf>
    <xf numFmtId="1" fontId="1" fillId="3" borderId="1" xfId="0" applyNumberFormat="1" applyFont="1" applyFill="1" applyBorder="1" applyAlignment="1">
      <alignment horizontal="center" vertical="center" wrapText="1"/>
    </xf>
    <xf numFmtId="0" fontId="1" fillId="11" borderId="0" xfId="0" applyFont="1" applyFill="1" applyAlignment="1">
      <alignment vertical="center" wrapText="1"/>
    </xf>
    <xf numFmtId="9" fontId="1" fillId="11" borderId="1" xfId="0" applyNumberFormat="1" applyFont="1" applyFill="1" applyBorder="1" applyAlignment="1">
      <alignment horizontal="center" vertical="center" wrapText="1"/>
    </xf>
    <xf numFmtId="0" fontId="1" fillId="11" borderId="1" xfId="0" applyFont="1" applyFill="1" applyBorder="1" applyAlignment="1">
      <alignment horizontal="right" vertical="center" wrapText="1"/>
    </xf>
    <xf numFmtId="1" fontId="1" fillId="11" borderId="1" xfId="0" applyNumberFormat="1" applyFont="1" applyFill="1" applyBorder="1" applyAlignment="1">
      <alignment horizontal="center" vertical="center" wrapText="1"/>
    </xf>
    <xf numFmtId="9" fontId="1" fillId="11" borderId="1" xfId="2" applyFont="1" applyFill="1" applyBorder="1" applyAlignment="1">
      <alignment horizontal="center" vertical="center" wrapText="1"/>
    </xf>
    <xf numFmtId="10" fontId="1" fillId="11" borderId="1" xfId="2" applyNumberFormat="1" applyFont="1" applyFill="1" applyBorder="1" applyAlignment="1">
      <alignment horizontal="center" vertical="center" wrapText="1"/>
    </xf>
    <xf numFmtId="9" fontId="27" fillId="11" borderId="1" xfId="2" applyFont="1" applyFill="1" applyBorder="1" applyAlignment="1">
      <alignment horizontal="center" vertical="center" wrapText="1"/>
    </xf>
    <xf numFmtId="0" fontId="1" fillId="11" borderId="18" xfId="0" applyFont="1" applyFill="1" applyBorder="1" applyAlignment="1">
      <alignment vertical="center" wrapText="1"/>
    </xf>
    <xf numFmtId="1" fontId="1" fillId="11" borderId="1" xfId="2" applyNumberFormat="1" applyFont="1" applyFill="1" applyBorder="1" applyAlignment="1">
      <alignment vertical="center" wrapText="1"/>
    </xf>
    <xf numFmtId="2" fontId="1" fillId="11" borderId="1" xfId="2" applyNumberFormat="1" applyFont="1" applyFill="1" applyBorder="1" applyAlignment="1">
      <alignment vertical="center" wrapText="1"/>
    </xf>
    <xf numFmtId="0" fontId="26" fillId="11" borderId="1" xfId="0" applyFont="1" applyFill="1" applyBorder="1" applyAlignment="1">
      <alignment horizontal="center" vertical="center" wrapText="1"/>
    </xf>
    <xf numFmtId="165" fontId="1" fillId="11" borderId="1" xfId="2" applyNumberFormat="1" applyFont="1" applyFill="1" applyBorder="1" applyAlignment="1">
      <alignment horizontal="center" vertical="center" wrapText="1"/>
    </xf>
    <xf numFmtId="164" fontId="1" fillId="11" borderId="1" xfId="2" applyNumberFormat="1" applyFont="1" applyFill="1" applyBorder="1" applyAlignment="1">
      <alignment horizontal="center" vertical="center" wrapText="1"/>
    </xf>
    <xf numFmtId="0" fontId="1" fillId="11" borderId="24" xfId="0" applyFont="1" applyFill="1" applyBorder="1" applyAlignment="1">
      <alignment vertical="center" wrapText="1"/>
    </xf>
    <xf numFmtId="0" fontId="1" fillId="11" borderId="18" xfId="0" applyFont="1" applyFill="1" applyBorder="1" applyAlignment="1">
      <alignment horizontal="left" vertical="center" wrapText="1"/>
    </xf>
    <xf numFmtId="0" fontId="1" fillId="11" borderId="0" xfId="0" applyFont="1" applyFill="1" applyAlignment="1">
      <alignment horizontal="center" vertical="center" wrapText="1"/>
    </xf>
    <xf numFmtId="3" fontId="1" fillId="11" borderId="1" xfId="0" applyNumberFormat="1" applyFont="1" applyFill="1" applyBorder="1" applyAlignment="1">
      <alignment horizontal="center" vertical="center" wrapText="1"/>
    </xf>
    <xf numFmtId="0" fontId="1" fillId="11" borderId="1" xfId="0" applyFont="1" applyFill="1" applyBorder="1" applyAlignment="1">
      <alignment horizontal="left" vertical="center" wrapText="1"/>
    </xf>
    <xf numFmtId="0" fontId="1" fillId="11" borderId="0" xfId="0" applyFont="1" applyFill="1" applyAlignment="1">
      <alignment wrapText="1"/>
    </xf>
    <xf numFmtId="0" fontId="1" fillId="11" borderId="1" xfId="0" applyFont="1" applyFill="1" applyBorder="1" applyAlignment="1">
      <alignment vertical="top" wrapText="1"/>
    </xf>
    <xf numFmtId="1" fontId="1" fillId="11" borderId="1" xfId="0" applyNumberFormat="1" applyFont="1" applyFill="1" applyBorder="1" applyAlignment="1">
      <alignment wrapText="1"/>
    </xf>
    <xf numFmtId="0" fontId="1" fillId="11" borderId="0" xfId="0" applyFont="1" applyFill="1" applyAlignment="1">
      <alignment horizontal="left" vertical="center" wrapText="1"/>
    </xf>
    <xf numFmtId="0" fontId="1" fillId="8" borderId="1" xfId="0" applyFont="1" applyFill="1" applyBorder="1" applyAlignment="1">
      <alignment horizontal="center" vertical="center" wrapText="1"/>
    </xf>
    <xf numFmtId="0" fontId="1" fillId="0" borderId="23" xfId="0" applyFont="1" applyBorder="1" applyAlignment="1">
      <alignment wrapText="1"/>
    </xf>
    <xf numFmtId="164" fontId="1" fillId="0" borderId="1" xfId="0" applyNumberFormat="1" applyFont="1" applyBorder="1" applyAlignment="1">
      <alignment vertical="center" wrapText="1"/>
    </xf>
    <xf numFmtId="0" fontId="1" fillId="9" borderId="0" xfId="0" applyFont="1" applyFill="1" applyAlignment="1">
      <alignment vertical="center" wrapText="1"/>
    </xf>
    <xf numFmtId="9" fontId="1" fillId="0" borderId="0" xfId="2" applyFont="1" applyBorder="1" applyAlignment="1">
      <alignment vertical="center" wrapText="1"/>
    </xf>
    <xf numFmtId="10" fontId="1" fillId="0" borderId="0" xfId="0" applyNumberFormat="1" applyFont="1" applyAlignment="1">
      <alignment vertical="center" wrapText="1"/>
    </xf>
    <xf numFmtId="0" fontId="17" fillId="0" borderId="26" xfId="0" applyFont="1" applyBorder="1" applyAlignment="1">
      <alignment horizontal="center" vertical="center" wrapText="1"/>
    </xf>
    <xf numFmtId="0" fontId="1" fillId="0" borderId="1" xfId="0" applyFont="1" applyBorder="1" applyAlignment="1">
      <alignment horizontal="center" wrapText="1"/>
    </xf>
    <xf numFmtId="0" fontId="3" fillId="18" borderId="27" xfId="0" applyFont="1" applyFill="1" applyBorder="1" applyAlignment="1">
      <alignment horizontal="center" vertical="center"/>
    </xf>
    <xf numFmtId="0" fontId="3" fillId="18" borderId="27" xfId="0" applyFont="1" applyFill="1" applyBorder="1" applyAlignment="1">
      <alignment horizontal="center" vertical="center" wrapText="1"/>
    </xf>
    <xf numFmtId="0" fontId="0" fillId="0" borderId="0" xfId="0" applyAlignment="1">
      <alignment horizontal="left" vertical="center" wrapText="1"/>
    </xf>
    <xf numFmtId="0" fontId="0" fillId="9" borderId="0" xfId="0" applyFill="1" applyAlignment="1">
      <alignment wrapText="1"/>
    </xf>
    <xf numFmtId="9" fontId="0" fillId="0" borderId="0" xfId="2" applyFont="1"/>
    <xf numFmtId="9" fontId="0" fillId="0" borderId="0" xfId="0" applyNumberFormat="1"/>
    <xf numFmtId="10" fontId="1" fillId="0" borderId="1" xfId="2" applyNumberFormat="1" applyFont="1" applyFill="1" applyBorder="1" applyAlignment="1">
      <alignment vertical="center" wrapText="1"/>
    </xf>
    <xf numFmtId="0" fontId="1" fillId="0" borderId="28" xfId="0" applyFont="1" applyBorder="1" applyAlignment="1">
      <alignment vertical="center" wrapText="1"/>
    </xf>
    <xf numFmtId="0" fontId="17" fillId="0" borderId="26" xfId="0" applyFont="1" applyBorder="1" applyAlignment="1">
      <alignment horizontal="center" vertical="center"/>
    </xf>
    <xf numFmtId="0" fontId="17" fillId="15" borderId="26" xfId="0" applyFont="1" applyFill="1" applyBorder="1" applyAlignment="1">
      <alignment horizontal="center" vertical="center" wrapText="1"/>
    </xf>
    <xf numFmtId="0" fontId="17" fillId="14" borderId="26" xfId="0" applyFont="1" applyFill="1" applyBorder="1" applyAlignment="1">
      <alignment horizontal="center" vertical="center" wrapText="1"/>
    </xf>
    <xf numFmtId="0" fontId="1" fillId="0" borderId="28" xfId="0" applyFont="1" applyBorder="1" applyAlignment="1">
      <alignment horizontal="left" vertical="center" wrapText="1"/>
    </xf>
    <xf numFmtId="0" fontId="1" fillId="0" borderId="28" xfId="0" applyFont="1" applyBorder="1" applyAlignment="1">
      <alignment horizontal="center" vertical="center" wrapText="1"/>
    </xf>
    <xf numFmtId="9" fontId="1" fillId="0" borderId="28" xfId="0" applyNumberFormat="1" applyFont="1" applyBorder="1" applyAlignment="1">
      <alignment horizontal="center" vertical="center" wrapText="1"/>
    </xf>
    <xf numFmtId="1" fontId="1" fillId="0" borderId="28" xfId="0" applyNumberFormat="1" applyFont="1" applyBorder="1" applyAlignment="1">
      <alignment horizontal="center" vertical="center" wrapText="1"/>
    </xf>
    <xf numFmtId="0" fontId="1" fillId="8" borderId="28" xfId="0" applyFont="1" applyFill="1" applyBorder="1" applyAlignment="1">
      <alignment horizontal="center" vertical="center" wrapText="1"/>
    </xf>
    <xf numFmtId="1" fontId="1" fillId="0" borderId="28" xfId="2" applyNumberFormat="1" applyFont="1" applyFill="1" applyBorder="1" applyAlignment="1">
      <alignment horizontal="center" vertical="center" wrapText="1"/>
    </xf>
    <xf numFmtId="10" fontId="1" fillId="0" borderId="28" xfId="2" applyNumberFormat="1" applyFont="1" applyFill="1" applyBorder="1" applyAlignment="1">
      <alignment horizontal="center" vertical="center" wrapText="1"/>
    </xf>
    <xf numFmtId="9" fontId="27" fillId="9" borderId="28" xfId="2" applyFont="1" applyFill="1" applyBorder="1" applyAlignment="1">
      <alignment horizontal="center" vertical="center" wrapText="1"/>
    </xf>
    <xf numFmtId="0" fontId="1" fillId="0" borderId="29" xfId="0" applyFont="1" applyBorder="1" applyAlignment="1">
      <alignment vertical="center" wrapText="1"/>
    </xf>
    <xf numFmtId="0" fontId="1" fillId="0" borderId="30" xfId="0" applyFont="1" applyBorder="1" applyAlignment="1">
      <alignment horizontal="left" wrapText="1"/>
    </xf>
    <xf numFmtId="9" fontId="1" fillId="0" borderId="1" xfId="0" applyNumberFormat="1" applyFont="1" applyBorder="1" applyAlignment="1">
      <alignment wrapText="1"/>
    </xf>
    <xf numFmtId="0" fontId="0" fillId="0" borderId="1" xfId="0" applyBorder="1" applyAlignment="1">
      <alignment horizontal="center" vertical="center"/>
    </xf>
    <xf numFmtId="1" fontId="1" fillId="0" borderId="25" xfId="0" applyNumberFormat="1" applyFont="1" applyBorder="1" applyAlignment="1">
      <alignment horizontal="center" vertical="center" wrapText="1"/>
    </xf>
    <xf numFmtId="0" fontId="30" fillId="0" borderId="1" xfId="0" applyFont="1" applyBorder="1" applyAlignment="1">
      <alignment vertical="center" wrapText="1"/>
    </xf>
    <xf numFmtId="2" fontId="1" fillId="0" borderId="1" xfId="0" applyNumberFormat="1" applyFont="1" applyBorder="1" applyAlignment="1">
      <alignment vertical="center" wrapText="1"/>
    </xf>
    <xf numFmtId="0" fontId="1" fillId="0" borderId="23" xfId="0" applyFont="1" applyBorder="1" applyAlignment="1">
      <alignment vertical="center" wrapText="1"/>
    </xf>
    <xf numFmtId="1" fontId="1" fillId="0" borderId="23" xfId="0" applyNumberFormat="1" applyFont="1" applyBorder="1" applyAlignment="1">
      <alignment horizontal="center" vertical="center" wrapText="1"/>
    </xf>
    <xf numFmtId="0" fontId="25" fillId="0" borderId="23" xfId="0" applyFont="1" applyBorder="1" applyAlignment="1">
      <alignment horizontal="center" vertical="center" wrapText="1"/>
    </xf>
    <xf numFmtId="164" fontId="1" fillId="0" borderId="0" xfId="0" applyNumberFormat="1" applyFont="1" applyAlignment="1">
      <alignment vertical="center" wrapText="1"/>
    </xf>
    <xf numFmtId="165" fontId="1" fillId="0" borderId="0" xfId="0" applyNumberFormat="1" applyFont="1" applyAlignment="1">
      <alignment horizontal="center" vertical="center" wrapText="1"/>
    </xf>
    <xf numFmtId="0" fontId="1" fillId="3" borderId="0" xfId="0" applyFont="1" applyFill="1" applyAlignment="1">
      <alignment vertical="center" wrapText="1"/>
    </xf>
    <xf numFmtId="0" fontId="1" fillId="0" borderId="31" xfId="0" applyFont="1" applyBorder="1" applyAlignment="1">
      <alignment vertical="center" wrapText="1"/>
    </xf>
    <xf numFmtId="0" fontId="1" fillId="0" borderId="31" xfId="0" applyFont="1" applyBorder="1" applyAlignment="1">
      <alignment horizontal="center" vertical="center" wrapText="1"/>
    </xf>
    <xf numFmtId="0" fontId="1" fillId="0" borderId="25" xfId="0" applyFont="1" applyBorder="1" applyAlignment="1">
      <alignment vertical="center" wrapText="1"/>
    </xf>
    <xf numFmtId="0" fontId="1" fillId="0" borderId="25" xfId="0" applyFont="1" applyBorder="1" applyAlignment="1">
      <alignment horizontal="center" vertical="center" wrapText="1"/>
    </xf>
    <xf numFmtId="0" fontId="1" fillId="0" borderId="21" xfId="0" applyFont="1" applyBorder="1" applyAlignment="1">
      <alignment vertical="center" wrapText="1"/>
    </xf>
    <xf numFmtId="0" fontId="1" fillId="0" borderId="31" xfId="0" applyFont="1" applyBorder="1" applyAlignment="1">
      <alignment horizontal="left" vertical="center" wrapText="1"/>
    </xf>
    <xf numFmtId="0" fontId="1" fillId="0" borderId="32" xfId="0" applyFont="1" applyBorder="1" applyAlignment="1">
      <alignment horizontal="center" vertical="center" wrapText="1"/>
    </xf>
    <xf numFmtId="0" fontId="1" fillId="0" borderId="33" xfId="0" applyFont="1" applyBorder="1" applyAlignment="1">
      <alignment vertical="center" wrapText="1"/>
    </xf>
    <xf numFmtId="0" fontId="1" fillId="0" borderId="34" xfId="0" applyFont="1" applyBorder="1" applyAlignment="1">
      <alignment horizontal="left" vertical="center" wrapText="1"/>
    </xf>
    <xf numFmtId="10" fontId="1" fillId="0" borderId="24" xfId="2" applyNumberFormat="1" applyFont="1" applyFill="1" applyBorder="1" applyAlignment="1">
      <alignment horizontal="center" vertical="center" wrapText="1"/>
    </xf>
    <xf numFmtId="0" fontId="1" fillId="0" borderId="35" xfId="0" applyFont="1" applyBorder="1" applyAlignment="1">
      <alignment horizontal="center" vertical="center" wrapText="1"/>
    </xf>
    <xf numFmtId="0" fontId="1" fillId="0" borderId="36" xfId="0" applyFont="1" applyBorder="1" applyAlignment="1">
      <alignment vertical="center" wrapText="1"/>
    </xf>
    <xf numFmtId="0" fontId="1" fillId="0" borderId="24"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7" xfId="0" applyFont="1" applyBorder="1" applyAlignment="1">
      <alignment vertical="center" wrapText="1"/>
    </xf>
    <xf numFmtId="0" fontId="1" fillId="3" borderId="31" xfId="0" applyFont="1" applyFill="1" applyBorder="1" applyAlignment="1">
      <alignment horizontal="center" vertical="center" wrapText="1"/>
    </xf>
    <xf numFmtId="0" fontId="25" fillId="0" borderId="0" xfId="0" applyFont="1" applyAlignment="1">
      <alignment wrapText="1"/>
    </xf>
    <xf numFmtId="0" fontId="1" fillId="0" borderId="24" xfId="0" applyFont="1" applyBorder="1" applyAlignment="1">
      <alignment vertical="center" wrapText="1"/>
    </xf>
    <xf numFmtId="0" fontId="1" fillId="0" borderId="31" xfId="0" applyFont="1" applyBorder="1" applyAlignment="1">
      <alignment vertical="top" wrapText="1"/>
    </xf>
    <xf numFmtId="9" fontId="27" fillId="9" borderId="35" xfId="2" applyFont="1" applyFill="1" applyBorder="1" applyAlignment="1">
      <alignment horizontal="center" vertical="center" wrapText="1"/>
    </xf>
    <xf numFmtId="9" fontId="27" fillId="0" borderId="35" xfId="2" applyFont="1" applyFill="1" applyBorder="1" applyAlignment="1">
      <alignment horizontal="center" vertical="center" wrapText="1"/>
    </xf>
    <xf numFmtId="0" fontId="1" fillId="11" borderId="36" xfId="0" applyFont="1" applyFill="1" applyBorder="1" applyAlignment="1">
      <alignment horizontal="left" vertical="center" wrapText="1"/>
    </xf>
    <xf numFmtId="0" fontId="1" fillId="11" borderId="36" xfId="0" applyFont="1" applyFill="1" applyBorder="1" applyAlignment="1">
      <alignment vertical="center" wrapText="1"/>
    </xf>
    <xf numFmtId="0" fontId="1" fillId="0" borderId="36" xfId="0" applyFont="1" applyBorder="1" applyAlignment="1">
      <alignment horizontal="center" vertical="center" wrapText="1"/>
    </xf>
    <xf numFmtId="0" fontId="1" fillId="11" borderId="38" xfId="0" applyFont="1" applyFill="1" applyBorder="1" applyAlignment="1">
      <alignment vertical="center" wrapText="1"/>
    </xf>
    <xf numFmtId="0" fontId="1" fillId="11" borderId="29" xfId="0" applyFont="1" applyFill="1" applyBorder="1" applyAlignment="1">
      <alignment wrapText="1"/>
    </xf>
    <xf numFmtId="0" fontId="1" fillId="0" borderId="38" xfId="0" applyFont="1" applyBorder="1" applyAlignment="1">
      <alignment horizontal="center" vertical="center" wrapText="1"/>
    </xf>
    <xf numFmtId="0" fontId="1" fillId="11" borderId="21" xfId="0" applyFont="1" applyFill="1" applyBorder="1" applyAlignment="1">
      <alignment vertical="center" wrapText="1"/>
    </xf>
    <xf numFmtId="0" fontId="1" fillId="0" borderId="38" xfId="0" applyFont="1" applyBorder="1" applyAlignment="1">
      <alignment vertical="center" wrapText="1"/>
    </xf>
    <xf numFmtId="0" fontId="1" fillId="0" borderId="36" xfId="0" applyFont="1" applyBorder="1" applyAlignment="1">
      <alignment horizontal="left" vertical="center" wrapText="1"/>
    </xf>
    <xf numFmtId="164" fontId="1" fillId="0" borderId="24" xfId="0" applyNumberFormat="1" applyFont="1" applyBorder="1" applyAlignment="1">
      <alignment vertical="center" wrapText="1"/>
    </xf>
    <xf numFmtId="0" fontId="1" fillId="11" borderId="36" xfId="0" applyFont="1" applyFill="1" applyBorder="1" applyAlignment="1">
      <alignment wrapText="1"/>
    </xf>
    <xf numFmtId="0" fontId="1" fillId="11" borderId="29" xfId="0" applyFont="1" applyFill="1" applyBorder="1" applyAlignment="1">
      <alignment vertical="center" wrapText="1"/>
    </xf>
    <xf numFmtId="1" fontId="1" fillId="0" borderId="31" xfId="0" applyNumberFormat="1" applyFont="1" applyBorder="1" applyAlignment="1">
      <alignment horizontal="center" vertical="center" wrapText="1"/>
    </xf>
    <xf numFmtId="9" fontId="1" fillId="0" borderId="31" xfId="2" applyFont="1" applyFill="1" applyBorder="1" applyAlignment="1">
      <alignment horizontal="center" vertical="center" wrapText="1"/>
    </xf>
    <xf numFmtId="10" fontId="1" fillId="0" borderId="31" xfId="2" applyNumberFormat="1" applyFont="1" applyFill="1" applyBorder="1" applyAlignment="1">
      <alignment horizontal="center" vertical="center" wrapText="1"/>
    </xf>
    <xf numFmtId="9" fontId="27" fillId="0" borderId="31" xfId="2" applyFont="1" applyFill="1" applyBorder="1" applyAlignment="1">
      <alignment horizontal="center" vertical="center" wrapText="1"/>
    </xf>
    <xf numFmtId="9" fontId="27" fillId="9" borderId="31" xfId="2" applyFont="1" applyFill="1" applyBorder="1" applyAlignment="1">
      <alignment horizontal="center" vertical="center" wrapText="1"/>
    </xf>
    <xf numFmtId="164" fontId="1" fillId="0" borderId="31" xfId="2" applyNumberFormat="1" applyFont="1" applyFill="1" applyBorder="1" applyAlignment="1">
      <alignment horizontal="center" vertical="center" wrapText="1"/>
    </xf>
    <xf numFmtId="164" fontId="1" fillId="0" borderId="31" xfId="0" applyNumberFormat="1" applyFont="1" applyBorder="1" applyAlignment="1">
      <alignment horizontal="center" vertical="center" wrapText="1"/>
    </xf>
    <xf numFmtId="1" fontId="1" fillId="0" borderId="31" xfId="2" applyNumberFormat="1" applyFont="1" applyFill="1" applyBorder="1" applyAlignment="1">
      <alignment horizontal="center" vertical="center" wrapText="1"/>
    </xf>
    <xf numFmtId="0" fontId="25" fillId="0" borderId="22" xfId="0" applyFont="1" applyBorder="1" applyAlignment="1">
      <alignment horizontal="center" vertical="center" wrapText="1"/>
    </xf>
    <xf numFmtId="0" fontId="1" fillId="0" borderId="22" xfId="0" applyFont="1" applyBorder="1" applyAlignment="1">
      <alignment wrapText="1"/>
    </xf>
    <xf numFmtId="0" fontId="1" fillId="0" borderId="35" xfId="0" applyFont="1" applyBorder="1" applyAlignment="1">
      <alignment wrapText="1"/>
    </xf>
    <xf numFmtId="164" fontId="1" fillId="0" borderId="35" xfId="0" applyNumberFormat="1" applyFont="1" applyBorder="1" applyAlignment="1">
      <alignment horizontal="center" vertical="center" wrapText="1"/>
    </xf>
    <xf numFmtId="0" fontId="1" fillId="0" borderId="35" xfId="0" applyFont="1" applyBorder="1" applyAlignment="1">
      <alignment vertical="center" wrapText="1"/>
    </xf>
    <xf numFmtId="2" fontId="1" fillId="0" borderId="35" xfId="0" applyNumberFormat="1" applyFont="1" applyBorder="1" applyAlignment="1">
      <alignment vertical="center" wrapText="1"/>
    </xf>
    <xf numFmtId="1" fontId="1" fillId="0" borderId="35" xfId="0" applyNumberFormat="1" applyFont="1" applyBorder="1" applyAlignment="1">
      <alignment horizontal="center" vertical="center" wrapText="1"/>
    </xf>
    <xf numFmtId="0" fontId="1" fillId="0" borderId="35" xfId="0" applyFont="1" applyBorder="1" applyAlignment="1">
      <alignment horizontal="center" wrapText="1"/>
    </xf>
    <xf numFmtId="1" fontId="1" fillId="0" borderId="24" xfId="0" applyNumberFormat="1" applyFont="1" applyBorder="1" applyAlignment="1">
      <alignment horizontal="center" vertical="center" wrapText="1"/>
    </xf>
    <xf numFmtId="9" fontId="1" fillId="0" borderId="24" xfId="2" applyFont="1" applyFill="1" applyBorder="1" applyAlignment="1">
      <alignment horizontal="center" vertical="center" wrapText="1"/>
    </xf>
    <xf numFmtId="9" fontId="27" fillId="0" borderId="39" xfId="2" applyFont="1" applyFill="1" applyBorder="1" applyAlignment="1">
      <alignment horizontal="center" vertical="center" wrapText="1"/>
    </xf>
    <xf numFmtId="0" fontId="1" fillId="11" borderId="24" xfId="0" applyFont="1" applyFill="1" applyBorder="1" applyAlignment="1">
      <alignment horizontal="center" vertical="center" wrapText="1"/>
    </xf>
    <xf numFmtId="9" fontId="1" fillId="11" borderId="24" xfId="0" applyNumberFormat="1" applyFont="1" applyFill="1" applyBorder="1" applyAlignment="1">
      <alignment horizontal="center" vertical="center" wrapText="1"/>
    </xf>
    <xf numFmtId="0" fontId="1" fillId="11" borderId="24" xfId="0" applyFont="1" applyFill="1" applyBorder="1" applyAlignment="1">
      <alignment wrapText="1"/>
    </xf>
    <xf numFmtId="1" fontId="1" fillId="11" borderId="24" xfId="0" applyNumberFormat="1" applyFont="1" applyFill="1" applyBorder="1" applyAlignment="1">
      <alignment horizontal="center" vertical="center" wrapText="1"/>
    </xf>
    <xf numFmtId="9" fontId="1" fillId="11" borderId="24" xfId="2" applyFont="1" applyFill="1" applyBorder="1" applyAlignment="1">
      <alignment horizontal="center" vertical="center" wrapText="1"/>
    </xf>
    <xf numFmtId="10" fontId="1" fillId="11" borderId="24" xfId="2" applyNumberFormat="1" applyFont="1" applyFill="1" applyBorder="1" applyAlignment="1">
      <alignment horizontal="center" vertical="center" wrapText="1"/>
    </xf>
    <xf numFmtId="9" fontId="27" fillId="11" borderId="24" xfId="2" applyFont="1" applyFill="1" applyBorder="1" applyAlignment="1">
      <alignment horizontal="center" vertical="center" wrapText="1"/>
    </xf>
    <xf numFmtId="0" fontId="1" fillId="0" borderId="33" xfId="0" applyFont="1" applyBorder="1" applyAlignment="1">
      <alignment horizontal="center" vertical="center" wrapText="1"/>
    </xf>
    <xf numFmtId="9" fontId="1" fillId="0" borderId="24" xfId="0" applyNumberFormat="1" applyFont="1" applyBorder="1" applyAlignment="1">
      <alignment horizontal="center" vertical="center" wrapText="1"/>
    </xf>
    <xf numFmtId="164" fontId="1" fillId="0" borderId="24" xfId="2" applyNumberFormat="1" applyFont="1" applyFill="1" applyBorder="1" applyAlignment="1">
      <alignment horizontal="center" vertical="center" wrapText="1"/>
    </xf>
    <xf numFmtId="9" fontId="27" fillId="0" borderId="24" xfId="2" applyFont="1" applyFill="1" applyBorder="1" applyAlignment="1">
      <alignment horizontal="center" vertical="center" wrapText="1"/>
    </xf>
    <xf numFmtId="0" fontId="1" fillId="11" borderId="24" xfId="0" applyFont="1" applyFill="1" applyBorder="1" applyAlignment="1">
      <alignment vertical="top" wrapText="1"/>
    </xf>
    <xf numFmtId="0" fontId="1" fillId="0" borderId="24" xfId="0" applyFont="1" applyBorder="1" applyAlignment="1">
      <alignment wrapText="1"/>
    </xf>
    <xf numFmtId="0" fontId="1" fillId="0" borderId="33" xfId="0" applyFont="1" applyBorder="1" applyAlignment="1">
      <alignment horizontal="left" vertical="center" wrapText="1"/>
    </xf>
    <xf numFmtId="9" fontId="27" fillId="9" borderId="24" xfId="2" applyFont="1" applyFill="1" applyBorder="1" applyAlignment="1">
      <alignment horizontal="center" vertical="center" wrapText="1"/>
    </xf>
    <xf numFmtId="9" fontId="1" fillId="0" borderId="39" xfId="2" applyFont="1" applyFill="1" applyBorder="1" applyAlignment="1">
      <alignment horizontal="center" vertical="center" wrapText="1"/>
    </xf>
    <xf numFmtId="0" fontId="1" fillId="11" borderId="21" xfId="0" applyFont="1" applyFill="1" applyBorder="1" applyAlignment="1">
      <alignment horizontal="center" vertical="center" wrapText="1"/>
    </xf>
    <xf numFmtId="9" fontId="1" fillId="11" borderId="21" xfId="0" applyNumberFormat="1" applyFont="1" applyFill="1" applyBorder="1" applyAlignment="1">
      <alignment horizontal="center" vertical="center" wrapText="1"/>
    </xf>
    <xf numFmtId="0" fontId="1" fillId="11" borderId="21" xfId="0" applyFont="1" applyFill="1" applyBorder="1" applyAlignment="1">
      <alignment wrapText="1"/>
    </xf>
    <xf numFmtId="1" fontId="1" fillId="11" borderId="21" xfId="0" applyNumberFormat="1" applyFont="1" applyFill="1" applyBorder="1" applyAlignment="1">
      <alignment horizontal="center" vertical="center" wrapText="1"/>
    </xf>
    <xf numFmtId="9" fontId="1" fillId="11" borderId="21" xfId="2" applyFont="1" applyFill="1" applyBorder="1" applyAlignment="1">
      <alignment horizontal="center" vertical="center" wrapText="1"/>
    </xf>
    <xf numFmtId="10" fontId="1" fillId="11" borderId="21" xfId="2" applyNumberFormat="1" applyFont="1" applyFill="1" applyBorder="1" applyAlignment="1">
      <alignment horizontal="center" vertical="center" wrapText="1"/>
    </xf>
    <xf numFmtId="9" fontId="27" fillId="11" borderId="21" xfId="2" applyFont="1" applyFill="1" applyBorder="1" applyAlignment="1">
      <alignment horizontal="center" vertical="center" wrapText="1"/>
    </xf>
    <xf numFmtId="0" fontId="1" fillId="0" borderId="34" xfId="0" applyFont="1" applyBorder="1" applyAlignment="1">
      <alignment horizontal="center" vertical="center" wrapText="1"/>
    </xf>
    <xf numFmtId="164" fontId="1" fillId="0" borderId="28" xfId="2" applyNumberFormat="1" applyFont="1" applyFill="1" applyBorder="1" applyAlignment="1">
      <alignment horizontal="center" vertical="center" wrapText="1"/>
    </xf>
    <xf numFmtId="0" fontId="1" fillId="0" borderId="34" xfId="0" applyFont="1" applyBorder="1" applyAlignment="1">
      <alignment vertical="center" wrapText="1"/>
    </xf>
    <xf numFmtId="9" fontId="1" fillId="0" borderId="28" xfId="2" applyFont="1" applyFill="1" applyBorder="1" applyAlignment="1">
      <alignment horizontal="center" vertical="center" wrapText="1"/>
    </xf>
    <xf numFmtId="0" fontId="1" fillId="3" borderId="28" xfId="0" applyFont="1" applyFill="1" applyBorder="1" applyAlignment="1">
      <alignment vertical="center" wrapText="1"/>
    </xf>
    <xf numFmtId="0" fontId="1" fillId="0" borderId="28" xfId="0" applyFont="1" applyBorder="1" applyAlignment="1">
      <alignment wrapText="1"/>
    </xf>
    <xf numFmtId="0" fontId="1" fillId="11" borderId="28" xfId="0" applyFont="1" applyFill="1" applyBorder="1" applyAlignment="1">
      <alignment vertical="center" wrapText="1"/>
    </xf>
    <xf numFmtId="0" fontId="1" fillId="11" borderId="28" xfId="0" applyFont="1" applyFill="1" applyBorder="1" applyAlignment="1">
      <alignment horizontal="center" vertical="center" wrapText="1"/>
    </xf>
    <xf numFmtId="9" fontId="1" fillId="11" borderId="28" xfId="0" applyNumberFormat="1" applyFont="1" applyFill="1" applyBorder="1" applyAlignment="1">
      <alignment horizontal="center" vertical="center" wrapText="1"/>
    </xf>
    <xf numFmtId="0" fontId="1" fillId="11" borderId="28" xfId="0" applyFont="1" applyFill="1" applyBorder="1" applyAlignment="1">
      <alignment wrapText="1"/>
    </xf>
    <xf numFmtId="1" fontId="1" fillId="11" borderId="28" xfId="0" applyNumberFormat="1" applyFont="1" applyFill="1" applyBorder="1" applyAlignment="1">
      <alignment horizontal="center" vertical="center" wrapText="1"/>
    </xf>
    <xf numFmtId="9" fontId="1" fillId="11" borderId="28" xfId="2" applyFont="1" applyFill="1" applyBorder="1" applyAlignment="1">
      <alignment horizontal="center" vertical="center" wrapText="1"/>
    </xf>
    <xf numFmtId="10" fontId="1" fillId="11" borderId="28" xfId="2" applyNumberFormat="1" applyFont="1" applyFill="1" applyBorder="1" applyAlignment="1">
      <alignment horizontal="center" vertical="center" wrapText="1"/>
    </xf>
    <xf numFmtId="9" fontId="27" fillId="11" borderId="28" xfId="2" applyFont="1" applyFill="1" applyBorder="1" applyAlignment="1">
      <alignment horizontal="center" vertical="center" wrapText="1"/>
    </xf>
    <xf numFmtId="0" fontId="1" fillId="0" borderId="21" xfId="0" applyFont="1" applyBorder="1" applyAlignment="1">
      <alignment horizontal="center" vertical="center" wrapText="1"/>
    </xf>
    <xf numFmtId="1" fontId="1" fillId="11" borderId="21" xfId="0" applyNumberFormat="1" applyFont="1" applyFill="1" applyBorder="1" applyAlignment="1">
      <alignment vertical="center" wrapText="1"/>
    </xf>
    <xf numFmtId="1" fontId="1" fillId="11" borderId="28" xfId="0" applyNumberFormat="1" applyFont="1" applyFill="1" applyBorder="1" applyAlignment="1">
      <alignment vertical="center" wrapText="1"/>
    </xf>
    <xf numFmtId="0" fontId="1" fillId="0" borderId="40" xfId="0" applyFont="1" applyBorder="1" applyAlignment="1">
      <alignment horizontal="center" vertical="center" wrapText="1"/>
    </xf>
    <xf numFmtId="9" fontId="1" fillId="0" borderId="41" xfId="2" applyFont="1" applyFill="1" applyBorder="1" applyAlignment="1">
      <alignment horizontal="center" vertical="center" wrapText="1"/>
    </xf>
    <xf numFmtId="1" fontId="1" fillId="0" borderId="21" xfId="0" applyNumberFormat="1" applyFont="1" applyBorder="1" applyAlignment="1">
      <alignment horizontal="left" vertical="center" wrapText="1"/>
    </xf>
    <xf numFmtId="9" fontId="27" fillId="9" borderId="37" xfId="2" applyFont="1" applyFill="1" applyBorder="1" applyAlignment="1">
      <alignment horizontal="center" vertical="center" wrapText="1"/>
    </xf>
    <xf numFmtId="9" fontId="27" fillId="9" borderId="21" xfId="2" applyFont="1" applyFill="1" applyBorder="1" applyAlignment="1">
      <alignment horizontal="center" vertical="center" wrapText="1"/>
    </xf>
    <xf numFmtId="9" fontId="27" fillId="3" borderId="41" xfId="2" applyFont="1" applyFill="1" applyBorder="1" applyAlignment="1">
      <alignment horizontal="center" vertical="center" wrapText="1"/>
    </xf>
    <xf numFmtId="9" fontId="27" fillId="9" borderId="39" xfId="2" applyFont="1" applyFill="1" applyBorder="1" applyAlignment="1">
      <alignment horizontal="center" vertical="center" wrapText="1"/>
    </xf>
    <xf numFmtId="0" fontId="1" fillId="0" borderId="42" xfId="0" applyFont="1" applyBorder="1" applyAlignment="1">
      <alignment horizontal="left" vertical="center" wrapText="1"/>
    </xf>
    <xf numFmtId="0" fontId="1" fillId="0" borderId="43" xfId="0" applyFont="1" applyBorder="1" applyAlignment="1">
      <alignment horizontal="left" vertical="center" wrapText="1"/>
    </xf>
    <xf numFmtId="0" fontId="1" fillId="0" borderId="43" xfId="0" applyFont="1" applyBorder="1" applyAlignment="1">
      <alignment horizontal="center" vertical="center" wrapText="1"/>
    </xf>
    <xf numFmtId="0" fontId="1" fillId="0" borderId="44" xfId="0" applyFont="1" applyBorder="1" applyAlignment="1">
      <alignment horizontal="left" vertical="top" wrapText="1"/>
    </xf>
    <xf numFmtId="0" fontId="34" fillId="0" borderId="31" xfId="0" applyFont="1" applyBorder="1" applyAlignment="1">
      <alignment vertical="center" wrapText="1"/>
    </xf>
    <xf numFmtId="9" fontId="27" fillId="9" borderId="45" xfId="2" applyFont="1" applyFill="1" applyBorder="1" applyAlignment="1">
      <alignment horizontal="center" vertical="center" wrapText="1"/>
    </xf>
    <xf numFmtId="0" fontId="33" fillId="0" borderId="31" xfId="0" applyFont="1" applyBorder="1" applyAlignment="1">
      <alignment horizontal="left" vertical="top" wrapText="1"/>
    </xf>
    <xf numFmtId="0" fontId="34" fillId="0" borderId="0" xfId="0" applyFont="1" applyAlignment="1">
      <alignment vertical="center" wrapText="1"/>
    </xf>
    <xf numFmtId="0" fontId="1" fillId="0" borderId="32" xfId="0" applyFont="1" applyBorder="1" applyAlignment="1">
      <alignment vertical="center" wrapText="1"/>
    </xf>
    <xf numFmtId="0" fontId="1" fillId="3" borderId="25" xfId="0" applyFont="1" applyFill="1" applyBorder="1" applyAlignment="1">
      <alignment horizontal="center" vertical="center" wrapText="1"/>
    </xf>
    <xf numFmtId="0" fontId="0" fillId="0" borderId="0" xfId="0" pivotButton="1"/>
    <xf numFmtId="0" fontId="0" fillId="0" borderId="0" xfId="0" applyAlignment="1">
      <alignment horizontal="left"/>
    </xf>
    <xf numFmtId="0" fontId="36" fillId="0" borderId="1" xfId="0" applyFont="1" applyBorder="1"/>
    <xf numFmtId="0" fontId="35" fillId="20" borderId="1" xfId="0" applyFont="1" applyFill="1" applyBorder="1" applyAlignment="1">
      <alignment horizontal="center" vertical="center" wrapText="1"/>
    </xf>
    <xf numFmtId="0" fontId="35" fillId="21" borderId="1" xfId="0" applyFont="1" applyFill="1" applyBorder="1" applyAlignment="1">
      <alignment horizontal="center" vertical="center" wrapText="1"/>
    </xf>
    <xf numFmtId="0" fontId="36" fillId="0" borderId="1" xfId="0" applyFont="1" applyBorder="1" applyAlignment="1">
      <alignment horizontal="center" vertical="center"/>
    </xf>
    <xf numFmtId="0" fontId="37" fillId="0" borderId="1" xfId="0" applyFont="1" applyBorder="1"/>
    <xf numFmtId="0" fontId="36" fillId="0" borderId="1" xfId="0" applyFont="1" applyBorder="1" applyAlignment="1">
      <alignment vertical="top" wrapText="1"/>
    </xf>
    <xf numFmtId="0" fontId="37" fillId="0" borderId="1" xfId="0" applyFont="1" applyBorder="1" applyAlignment="1">
      <alignment vertical="top"/>
    </xf>
    <xf numFmtId="10" fontId="0" fillId="0" borderId="0" xfId="2" applyNumberFormat="1" applyFont="1"/>
    <xf numFmtId="10" fontId="1" fillId="0" borderId="1" xfId="2" applyNumberFormat="1" applyFont="1" applyFill="1" applyBorder="1" applyAlignment="1">
      <alignment horizontal="left" vertical="center" wrapText="1" indent="2"/>
    </xf>
    <xf numFmtId="9" fontId="27" fillId="9" borderId="41" xfId="2" applyFont="1" applyFill="1" applyBorder="1" applyAlignment="1">
      <alignment horizontal="center" vertical="center" wrapText="1"/>
    </xf>
    <xf numFmtId="9" fontId="27" fillId="3" borderId="35" xfId="2" applyFont="1" applyFill="1" applyBorder="1" applyAlignment="1">
      <alignment horizontal="center" vertical="center" wrapText="1"/>
    </xf>
    <xf numFmtId="2" fontId="1" fillId="0" borderId="24" xfId="2" applyNumberFormat="1" applyFont="1" applyFill="1" applyBorder="1" applyAlignment="1">
      <alignment horizontal="center" vertical="center" wrapText="1"/>
    </xf>
    <xf numFmtId="0" fontId="17" fillId="0" borderId="1" xfId="0" applyFont="1" applyBorder="1" applyAlignment="1">
      <alignment horizontal="center" vertical="center"/>
    </xf>
    <xf numFmtId="0" fontId="31" fillId="0" borderId="7" xfId="0" applyFont="1" applyBorder="1" applyAlignment="1">
      <alignment horizontal="center" vertical="center" wrapText="1"/>
    </xf>
    <xf numFmtId="0" fontId="31" fillId="0" borderId="7" xfId="0" applyFont="1" applyBorder="1" applyAlignment="1">
      <alignment vertical="center" wrapText="1"/>
    </xf>
    <xf numFmtId="0" fontId="31" fillId="19" borderId="7" xfId="0" applyFont="1" applyFill="1" applyBorder="1" applyAlignment="1">
      <alignment horizontal="center" vertical="center" wrapText="1"/>
    </xf>
    <xf numFmtId="0" fontId="32" fillId="0" borderId="7" xfId="0" applyFont="1" applyBorder="1" applyAlignment="1">
      <alignment horizontal="right" wrapText="1"/>
    </xf>
    <xf numFmtId="0" fontId="32" fillId="0" borderId="8" xfId="0" applyFont="1" applyBorder="1" applyAlignment="1">
      <alignment horizontal="right"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27" xfId="0" applyFont="1" applyBorder="1" applyAlignment="1">
      <alignment horizontal="center" vertical="center" wrapText="1"/>
    </xf>
    <xf numFmtId="0" fontId="3" fillId="0" borderId="27" xfId="0" applyFont="1" applyBorder="1" applyAlignment="1">
      <alignment horizontal="center" vertical="center"/>
    </xf>
    <xf numFmtId="0" fontId="17" fillId="0" borderId="15" xfId="0" applyFont="1" applyBorder="1" applyAlignment="1">
      <alignment horizontal="center" vertical="top" wrapText="1"/>
    </xf>
    <xf numFmtId="0" fontId="17" fillId="0" borderId="1" xfId="0" applyFont="1" applyBorder="1" applyAlignment="1">
      <alignment horizontal="center" vertical="top" wrapText="1"/>
    </xf>
    <xf numFmtId="0" fontId="17" fillId="0" borderId="15" xfId="0" applyFont="1" applyBorder="1" applyAlignment="1">
      <alignment horizontal="center" vertical="center" wrapText="1"/>
    </xf>
    <xf numFmtId="0" fontId="17" fillId="0" borderId="1" xfId="0" applyFont="1" applyBorder="1" applyAlignment="1">
      <alignment horizontal="center" vertical="center" wrapText="1"/>
    </xf>
    <xf numFmtId="0" fontId="19" fillId="6" borderId="3"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20" fillId="7" borderId="3"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7" borderId="0" xfId="0" applyFont="1" applyFill="1" applyAlignment="1">
      <alignment horizontal="center" vertical="center" wrapText="1"/>
    </xf>
    <xf numFmtId="0" fontId="20" fillId="7" borderId="10"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7" borderId="12" xfId="0" applyFont="1" applyFill="1" applyBorder="1" applyAlignment="1">
      <alignment horizontal="center" vertical="center" wrapText="1"/>
    </xf>
    <xf numFmtId="0" fontId="20" fillId="7" borderId="13"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6" borderId="0" xfId="0" applyFont="1" applyFill="1" applyAlignment="1">
      <alignment horizontal="center" vertical="center" wrapText="1"/>
    </xf>
    <xf numFmtId="0" fontId="21" fillId="6" borderId="10"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12"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17" fillId="0" borderId="15" xfId="0" applyFont="1" applyBorder="1" applyAlignment="1">
      <alignment horizontal="center" vertical="center"/>
    </xf>
    <xf numFmtId="0" fontId="17" fillId="0" borderId="1" xfId="0" applyFont="1" applyBorder="1" applyAlignment="1">
      <alignment horizontal="center" vertical="center"/>
    </xf>
    <xf numFmtId="0" fontId="17" fillId="0" borderId="14" xfId="0" applyFont="1" applyBorder="1" applyAlignment="1">
      <alignment horizontal="center" vertical="center" wrapText="1"/>
    </xf>
    <xf numFmtId="0" fontId="17" fillId="0" borderId="17" xfId="0" applyFont="1" applyBorder="1" applyAlignment="1">
      <alignment horizontal="center" vertical="center" wrapText="1"/>
    </xf>
    <xf numFmtId="0" fontId="20" fillId="7" borderId="6"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20" fillId="7" borderId="8" xfId="0" applyFont="1" applyFill="1" applyBorder="1" applyAlignment="1">
      <alignment horizontal="center" vertical="center" wrapText="1"/>
    </xf>
    <xf numFmtId="14" fontId="20" fillId="7" borderId="6" xfId="0" applyNumberFormat="1" applyFont="1" applyFill="1" applyBorder="1" applyAlignment="1">
      <alignment horizontal="center" vertical="center" wrapText="1"/>
    </xf>
    <xf numFmtId="14" fontId="20" fillId="7" borderId="7" xfId="0" applyNumberFormat="1" applyFont="1" applyFill="1" applyBorder="1" applyAlignment="1">
      <alignment horizontal="center" vertical="center" wrapText="1"/>
    </xf>
    <xf numFmtId="14" fontId="20" fillId="7" borderId="8" xfId="0" applyNumberFormat="1" applyFont="1" applyFill="1" applyBorder="1" applyAlignment="1">
      <alignment horizontal="center" vertical="center" wrapText="1"/>
    </xf>
    <xf numFmtId="14" fontId="20" fillId="7" borderId="3" xfId="0" applyNumberFormat="1" applyFont="1" applyFill="1" applyBorder="1" applyAlignment="1">
      <alignment horizontal="center" vertical="center" wrapText="1"/>
    </xf>
    <xf numFmtId="14" fontId="20" fillId="7" borderId="4" xfId="0" applyNumberFormat="1" applyFont="1" applyFill="1" applyBorder="1" applyAlignment="1">
      <alignment horizontal="center" vertical="center" wrapText="1"/>
    </xf>
    <xf numFmtId="14" fontId="20" fillId="7" borderId="5" xfId="0" applyNumberFormat="1" applyFont="1" applyFill="1" applyBorder="1" applyAlignment="1">
      <alignment horizontal="center" vertical="center" wrapText="1"/>
    </xf>
    <xf numFmtId="14" fontId="20" fillId="7" borderId="11" xfId="0" applyNumberFormat="1" applyFont="1" applyFill="1" applyBorder="1" applyAlignment="1">
      <alignment horizontal="center" vertical="center" wrapText="1"/>
    </xf>
    <xf numFmtId="14" fontId="20" fillId="7" borderId="12" xfId="0" applyNumberFormat="1" applyFont="1" applyFill="1" applyBorder="1" applyAlignment="1">
      <alignment horizontal="center" vertical="center" wrapText="1"/>
    </xf>
    <xf numFmtId="14" fontId="20" fillId="7" borderId="13" xfId="0" applyNumberFormat="1" applyFont="1" applyFill="1" applyBorder="1" applyAlignment="1">
      <alignment horizontal="center"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7" fillId="0" borderId="16" xfId="0" applyFont="1" applyBorder="1" applyAlignment="1">
      <alignment horizontal="center" vertical="center" wrapText="1"/>
    </xf>
    <xf numFmtId="0" fontId="17" fillId="0" borderId="18" xfId="0" applyFont="1" applyBorder="1" applyAlignment="1">
      <alignment horizontal="center" vertical="center" wrapText="1"/>
    </xf>
    <xf numFmtId="0" fontId="3" fillId="0" borderId="2" xfId="0" applyFont="1" applyBorder="1" applyAlignment="1">
      <alignment horizontal="center" vertical="center"/>
    </xf>
    <xf numFmtId="0" fontId="14" fillId="5" borderId="1" xfId="1" applyFont="1" applyFill="1" applyBorder="1" applyAlignment="1">
      <alignment horizontal="center" vertical="center" wrapText="1"/>
    </xf>
    <xf numFmtId="0" fontId="37" fillId="0" borderId="1"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28" xfId="0" applyFont="1" applyBorder="1" applyAlignment="1">
      <alignment horizontal="center" vertical="center" wrapText="1"/>
    </xf>
    <xf numFmtId="0" fontId="5" fillId="0" borderId="1" xfId="0" applyFont="1" applyBorder="1" applyAlignment="1">
      <alignment horizontal="center"/>
    </xf>
    <xf numFmtId="0" fontId="5"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1" fillId="0" borderId="0" xfId="0" applyFont="1" applyFill="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vertical="top" wrapText="1"/>
    </xf>
    <xf numFmtId="0" fontId="25" fillId="0" borderId="1" xfId="0" applyFont="1" applyFill="1" applyBorder="1" applyAlignment="1">
      <alignment vertical="center" wrapText="1"/>
    </xf>
    <xf numFmtId="0" fontId="25" fillId="0" borderId="1" xfId="0" applyFont="1" applyFill="1" applyBorder="1" applyAlignment="1">
      <alignment wrapText="1"/>
    </xf>
    <xf numFmtId="9" fontId="25" fillId="0" borderId="1" xfId="0" applyNumberFormat="1" applyFont="1" applyFill="1" applyBorder="1" applyAlignment="1">
      <alignment horizontal="center" vertical="center" wrapText="1"/>
    </xf>
    <xf numFmtId="0" fontId="1" fillId="0" borderId="1" xfId="0" applyFont="1" applyFill="1" applyBorder="1" applyAlignment="1">
      <alignment wrapText="1"/>
    </xf>
    <xf numFmtId="9"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left" vertical="center" wrapText="1"/>
    </xf>
    <xf numFmtId="1" fontId="1" fillId="0" borderId="1" xfId="0" applyNumberFormat="1" applyFont="1" applyFill="1" applyBorder="1" applyAlignment="1">
      <alignment vertical="center" wrapText="1"/>
    </xf>
    <xf numFmtId="0" fontId="1" fillId="0" borderId="0" xfId="0" applyFont="1" applyFill="1" applyAlignment="1">
      <alignment wrapText="1"/>
    </xf>
    <xf numFmtId="0" fontId="1" fillId="0" borderId="1" xfId="0" applyFont="1" applyFill="1" applyBorder="1" applyAlignment="1">
      <alignment horizontal="left" vertical="center" wrapText="1"/>
    </xf>
    <xf numFmtId="9" fontId="1" fillId="0" borderId="1" xfId="0" applyNumberFormat="1" applyFont="1" applyFill="1" applyBorder="1" applyAlignment="1">
      <alignment vertical="center" wrapText="1"/>
    </xf>
    <xf numFmtId="0" fontId="1" fillId="0" borderId="0" xfId="0" applyFont="1" applyFill="1" applyAlignment="1">
      <alignment horizontal="left" vertical="top" wrapText="1"/>
    </xf>
    <xf numFmtId="0" fontId="1" fillId="0" borderId="0" xfId="0" applyFont="1" applyFill="1" applyAlignment="1">
      <alignment horizontal="center" wrapText="1"/>
    </xf>
    <xf numFmtId="0" fontId="1" fillId="0" borderId="0" xfId="0" applyFont="1" applyFill="1" applyAlignment="1">
      <alignment vertical="top" wrapText="1"/>
    </xf>
    <xf numFmtId="0" fontId="1" fillId="0" borderId="42"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43" xfId="0" applyFont="1" applyFill="1" applyBorder="1" applyAlignment="1">
      <alignment horizontal="center" vertical="center" wrapText="1"/>
    </xf>
    <xf numFmtId="0" fontId="1" fillId="0" borderId="43" xfId="0" applyFont="1" applyFill="1" applyBorder="1" applyAlignment="1">
      <alignment vertical="center" wrapText="1"/>
    </xf>
    <xf numFmtId="0" fontId="1" fillId="0" borderId="44" xfId="0" applyFont="1" applyFill="1" applyBorder="1" applyAlignment="1">
      <alignment horizontal="center" vertical="center" wrapText="1"/>
    </xf>
    <xf numFmtId="1" fontId="1" fillId="0" borderId="0" xfId="0" applyNumberFormat="1" applyFont="1" applyFill="1" applyAlignment="1">
      <alignment horizontal="center" wrapText="1"/>
    </xf>
    <xf numFmtId="0" fontId="1" fillId="0" borderId="42" xfId="0" applyFont="1" applyFill="1" applyBorder="1" applyAlignment="1">
      <alignment horizontal="center" vertical="center" wrapText="1"/>
    </xf>
    <xf numFmtId="1" fontId="1" fillId="0" borderId="43" xfId="0" applyNumberFormat="1" applyFont="1" applyFill="1" applyBorder="1" applyAlignment="1">
      <alignment horizontal="center" vertical="center" wrapText="1"/>
    </xf>
    <xf numFmtId="0" fontId="1" fillId="11" borderId="28" xfId="0" applyFont="1" applyFill="1" applyBorder="1" applyAlignment="1">
      <alignment vertical="top" wrapText="1"/>
    </xf>
    <xf numFmtId="1" fontId="1" fillId="11" borderId="28" xfId="0" applyNumberFormat="1" applyFont="1" applyFill="1" applyBorder="1" applyAlignment="1">
      <alignment wrapText="1"/>
    </xf>
    <xf numFmtId="0" fontId="17" fillId="0" borderId="42" xfId="0" applyFont="1" applyBorder="1" applyAlignment="1">
      <alignment horizontal="center" vertical="center" wrapText="1"/>
    </xf>
    <xf numFmtId="0" fontId="25" fillId="0" borderId="35" xfId="0" applyFont="1" applyBorder="1" applyAlignment="1">
      <alignment horizontal="center" vertical="center" wrapText="1"/>
    </xf>
    <xf numFmtId="0" fontId="17" fillId="0" borderId="44" xfId="0" applyFont="1" applyBorder="1" applyAlignment="1">
      <alignment horizontal="center" vertical="center" wrapText="1"/>
    </xf>
    <xf numFmtId="0" fontId="17" fillId="16" borderId="44" xfId="0" applyFont="1" applyFill="1" applyBorder="1" applyAlignment="1">
      <alignment horizontal="center" vertical="center" wrapText="1"/>
    </xf>
    <xf numFmtId="0" fontId="25" fillId="0" borderId="23" xfId="0" applyFont="1" applyBorder="1" applyAlignment="1">
      <alignment wrapText="1"/>
    </xf>
    <xf numFmtId="1" fontId="1" fillId="0" borderId="23" xfId="2" applyNumberFormat="1" applyFont="1" applyFill="1" applyBorder="1" applyAlignment="1">
      <alignment horizontal="center" vertical="center" wrapText="1"/>
    </xf>
    <xf numFmtId="10" fontId="1" fillId="0" borderId="23" xfId="2" applyNumberFormat="1" applyFont="1" applyFill="1" applyBorder="1" applyAlignment="1">
      <alignment horizontal="center" vertical="center" wrapText="1"/>
    </xf>
    <xf numFmtId="9" fontId="1" fillId="0" borderId="23" xfId="2" applyFont="1" applyFill="1" applyBorder="1" applyAlignment="1">
      <alignment horizontal="center" vertical="center" wrapText="1"/>
    </xf>
    <xf numFmtId="164" fontId="1" fillId="0" borderId="23" xfId="2" applyNumberFormat="1" applyFont="1" applyFill="1" applyBorder="1" applyAlignment="1">
      <alignment horizontal="center" vertical="center" wrapText="1"/>
    </xf>
    <xf numFmtId="10" fontId="1" fillId="0" borderId="33" xfId="2" applyNumberFormat="1" applyFont="1" applyFill="1" applyBorder="1" applyAlignment="1">
      <alignment horizontal="center" vertical="center" wrapText="1"/>
    </xf>
    <xf numFmtId="10" fontId="1" fillId="0" borderId="46" xfId="2" applyNumberFormat="1" applyFont="1" applyFill="1" applyBorder="1" applyAlignment="1">
      <alignment horizontal="center" vertical="center" wrapText="1"/>
    </xf>
    <xf numFmtId="9" fontId="1" fillId="0" borderId="46" xfId="2" applyFont="1" applyFill="1" applyBorder="1" applyAlignment="1">
      <alignment horizontal="center" vertical="center" wrapText="1"/>
    </xf>
    <xf numFmtId="10" fontId="1" fillId="0" borderId="34" xfId="2" applyNumberFormat="1" applyFont="1" applyFill="1" applyBorder="1" applyAlignment="1">
      <alignment horizontal="center" vertical="center" wrapText="1"/>
    </xf>
    <xf numFmtId="164" fontId="1" fillId="0" borderId="34" xfId="2" applyNumberFormat="1" applyFont="1" applyFill="1" applyBorder="1" applyAlignment="1">
      <alignment horizontal="center" vertical="center" wrapText="1"/>
    </xf>
    <xf numFmtId="164" fontId="1" fillId="0" borderId="33" xfId="2" applyNumberFormat="1" applyFont="1" applyFill="1" applyBorder="1" applyAlignment="1">
      <alignment horizontal="center" vertical="center" wrapText="1"/>
    </xf>
    <xf numFmtId="1" fontId="1" fillId="0" borderId="46" xfId="2" applyNumberFormat="1" applyFont="1" applyFill="1" applyBorder="1" applyAlignment="1">
      <alignment horizontal="center" vertical="center" wrapText="1"/>
    </xf>
    <xf numFmtId="2" fontId="1" fillId="0" borderId="33" xfId="2" applyNumberFormat="1" applyFont="1" applyFill="1" applyBorder="1" applyAlignment="1">
      <alignment horizontal="center" vertical="center" wrapText="1"/>
    </xf>
    <xf numFmtId="0" fontId="1" fillId="11" borderId="21" xfId="0" applyFont="1" applyFill="1" applyBorder="1" applyAlignment="1">
      <alignment horizontal="left" vertical="center" wrapText="1"/>
    </xf>
    <xf numFmtId="0" fontId="1" fillId="14" borderId="24" xfId="0" applyFont="1" applyFill="1" applyBorder="1" applyAlignment="1">
      <alignment horizontal="center" vertical="center" wrapText="1"/>
    </xf>
    <xf numFmtId="9" fontId="1" fillId="3" borderId="24" xfId="0" applyNumberFormat="1" applyFont="1" applyFill="1" applyBorder="1" applyAlignment="1">
      <alignment horizontal="center" vertical="center" wrapText="1"/>
    </xf>
    <xf numFmtId="1" fontId="1" fillId="3" borderId="21" xfId="0" applyNumberFormat="1" applyFont="1" applyFill="1" applyBorder="1" applyAlignment="1">
      <alignment horizontal="center" vertical="center" wrapText="1"/>
    </xf>
    <xf numFmtId="1" fontId="1" fillId="0" borderId="21" xfId="0" applyNumberFormat="1" applyFont="1" applyBorder="1" applyAlignment="1">
      <alignment horizontal="center" vertical="center" wrapText="1"/>
    </xf>
    <xf numFmtId="9" fontId="1" fillId="0" borderId="21" xfId="2" applyFont="1" applyFill="1" applyBorder="1" applyAlignment="1">
      <alignment horizontal="center" vertical="center" wrapText="1"/>
    </xf>
    <xf numFmtId="0" fontId="25" fillId="0" borderId="21" xfId="0" applyFont="1" applyBorder="1" applyAlignment="1">
      <alignment horizontal="center" vertical="center" wrapText="1"/>
    </xf>
    <xf numFmtId="10" fontId="1" fillId="0" borderId="21" xfId="2" applyNumberFormat="1" applyFont="1" applyFill="1" applyBorder="1" applyAlignment="1">
      <alignment horizontal="center" vertical="center" wrapText="1"/>
    </xf>
    <xf numFmtId="9" fontId="1" fillId="0" borderId="21" xfId="0" applyNumberFormat="1" applyFont="1" applyBorder="1" applyAlignment="1">
      <alignment horizontal="center" vertical="center" wrapText="1"/>
    </xf>
    <xf numFmtId="0" fontId="17" fillId="0" borderId="1" xfId="0" applyFont="1" applyBorder="1" applyAlignment="1">
      <alignment vertical="center" wrapText="1"/>
    </xf>
    <xf numFmtId="1" fontId="17" fillId="0" borderId="1" xfId="0" applyNumberFormat="1" applyFont="1" applyBorder="1" applyAlignment="1">
      <alignment horizontal="center" vertical="center" wrapText="1"/>
    </xf>
    <xf numFmtId="0" fontId="17" fillId="0" borderId="1"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17" borderId="1" xfId="0" applyFont="1" applyFill="1" applyBorder="1" applyAlignment="1">
      <alignment horizontal="center" vertical="center" wrapText="1"/>
    </xf>
    <xf numFmtId="9" fontId="1" fillId="0" borderId="1" xfId="0" applyNumberFormat="1" applyFont="1" applyFill="1" applyBorder="1" applyAlignment="1">
      <alignment wrapText="1"/>
    </xf>
    <xf numFmtId="9" fontId="1" fillId="0" borderId="1" xfId="2" applyFont="1" applyFill="1" applyBorder="1" applyAlignment="1">
      <alignment wrapText="1"/>
    </xf>
    <xf numFmtId="10" fontId="1" fillId="0" borderId="1" xfId="0" applyNumberFormat="1" applyFont="1" applyFill="1" applyBorder="1" applyAlignment="1">
      <alignment wrapText="1"/>
    </xf>
  </cellXfs>
  <cellStyles count="6">
    <cellStyle name="Millares [0]" xfId="3" builtinId="6"/>
    <cellStyle name="Normal" xfId="0" builtinId="0"/>
    <cellStyle name="Normal 2" xfId="5" xr:uid="{00000000-0005-0000-0000-000002000000}"/>
    <cellStyle name="Normal 3" xfId="1" xr:uid="{00000000-0005-0000-0000-000003000000}"/>
    <cellStyle name="Porcentaje" xfId="2" builtinId="5"/>
    <cellStyle name="Porcentaje 2" xfId="4" xr:uid="{00000000-0005-0000-0000-000005000000}"/>
  </cellStyles>
  <dxfs count="9">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s>
  <tableStyles count="0" defaultTableStyle="TableStyleMedium2" defaultPivotStyle="PivotStyleLight16"/>
  <colors>
    <mruColors>
      <color rgb="FFCC0066"/>
      <color rgb="FFFFFF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pivotSource>
    <c:name>[Tablero de Control 2023_IV.xlsx]Gráficas!TablaDinámica2</c:name>
    <c:fmtId val="9"/>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stacked"/>
        <c:varyColors val="0"/>
        <c:ser>
          <c:idx val="0"/>
          <c:order val="0"/>
          <c:tx>
            <c:strRef>
              <c:f>Gráficas!$D$10:$D$11</c:f>
              <c:strCache>
                <c:ptCount val="1"/>
                <c:pt idx="0">
                  <c:v>En cumplimiento</c:v>
                </c:pt>
              </c:strCache>
            </c:strRef>
          </c:tx>
          <c:spPr>
            <a:solidFill>
              <a:schemeClr val="accent1"/>
            </a:solidFill>
            <a:ln>
              <a:noFill/>
            </a:ln>
            <a:effectLst/>
          </c:spPr>
          <c:invertIfNegative val="0"/>
          <c:cat>
            <c:strRef>
              <c:f>Gráficas!$C$12:$C$33</c:f>
              <c:strCache>
                <c:ptCount val="21"/>
                <c:pt idx="0">
                  <c:v>Acceso y Fortalecimiento a la Justicia      </c:v>
                </c:pt>
                <c:pt idx="1">
                  <c:v>Administración de Bienes Muebles e Inmuebles para
el Fortalecimiento de las Capacidades Operativas</c:v>
                </c:pt>
                <c:pt idx="2">
                  <c:v>Atención y Relación con el Ciudadano </c:v>
                </c:pt>
                <c:pt idx="3">
                  <c:v>Control Interno Disciplinario </c:v>
                </c:pt>
                <c:pt idx="4">
                  <c:v>Direccionamiento estratégico</c:v>
                </c:pt>
                <c:pt idx="5">
                  <c:v>Evaluación al sistema de control interno</c:v>
                </c:pt>
                <c:pt idx="6">
                  <c:v>Fortalecimiento Institucional</c:v>
                </c:pt>
                <c:pt idx="7">
                  <c:v>Gestión Contractual</c:v>
                </c:pt>
                <c:pt idx="8">
                  <c:v>Gestión de Comunicaciones  Estratégicas</c:v>
                </c:pt>
                <c:pt idx="9">
                  <c:v>Gestión de Emergencias</c:v>
                </c:pt>
                <c:pt idx="10">
                  <c:v>Gestión de Recursos Físicos al Servicio de la Entidad</c:v>
                </c:pt>
                <c:pt idx="11">
                  <c:v>Gestión de Seguridad y Convivencia</c:v>
                </c:pt>
                <c:pt idx="12">
                  <c:v>Gestión de tecnologías de la información</c:v>
                </c:pt>
                <c:pt idx="13">
                  <c:v>Gestión del Conocimiento y la Innovación Pública</c:v>
                </c:pt>
                <c:pt idx="14">
                  <c:v>Gestión Documental</c:v>
                </c:pt>
                <c:pt idx="15">
                  <c:v>Gestión Estratégica del Talento Humano</c:v>
                </c:pt>
                <c:pt idx="16">
                  <c:v>Gestión Financiera</c:v>
                </c:pt>
                <c:pt idx="17">
                  <c:v>Gestión Integral a las Personas Privadas de la Libertad -PPL-</c:v>
                </c:pt>
                <c:pt idx="18">
                  <c:v>Gestión Juridica</c:v>
                </c:pt>
                <c:pt idx="19">
                  <c:v>Gestión Tecnológica de Seguridad y Emergecias</c:v>
                </c:pt>
                <c:pt idx="20">
                  <c:v>Gestión y Análisis de la Información</c:v>
                </c:pt>
              </c:strCache>
            </c:strRef>
          </c:cat>
          <c:val>
            <c:numRef>
              <c:f>Gráficas!$D$12:$D$33</c:f>
              <c:numCache>
                <c:formatCode>General</c:formatCode>
                <c:ptCount val="21"/>
                <c:pt idx="0">
                  <c:v>6</c:v>
                </c:pt>
                <c:pt idx="1">
                  <c:v>1</c:v>
                </c:pt>
                <c:pt idx="2">
                  <c:v>3</c:v>
                </c:pt>
                <c:pt idx="3">
                  <c:v>2</c:v>
                </c:pt>
                <c:pt idx="4">
                  <c:v>1</c:v>
                </c:pt>
                <c:pt idx="5">
                  <c:v>1</c:v>
                </c:pt>
                <c:pt idx="6">
                  <c:v>1</c:v>
                </c:pt>
                <c:pt idx="7">
                  <c:v>3</c:v>
                </c:pt>
                <c:pt idx="8">
                  <c:v>3</c:v>
                </c:pt>
                <c:pt idx="9">
                  <c:v>2</c:v>
                </c:pt>
                <c:pt idx="10">
                  <c:v>2</c:v>
                </c:pt>
                <c:pt idx="11">
                  <c:v>1</c:v>
                </c:pt>
                <c:pt idx="12">
                  <c:v>6</c:v>
                </c:pt>
                <c:pt idx="13">
                  <c:v>1</c:v>
                </c:pt>
                <c:pt idx="14">
                  <c:v>6</c:v>
                </c:pt>
                <c:pt idx="15">
                  <c:v>3</c:v>
                </c:pt>
                <c:pt idx="16">
                  <c:v>5</c:v>
                </c:pt>
                <c:pt idx="17">
                  <c:v>6</c:v>
                </c:pt>
                <c:pt idx="18">
                  <c:v>2</c:v>
                </c:pt>
                <c:pt idx="19">
                  <c:v>2</c:v>
                </c:pt>
                <c:pt idx="20">
                  <c:v>2</c:v>
                </c:pt>
              </c:numCache>
            </c:numRef>
          </c:val>
          <c:extLst>
            <c:ext xmlns:c16="http://schemas.microsoft.com/office/drawing/2014/chart" uri="{C3380CC4-5D6E-409C-BE32-E72D297353CC}">
              <c16:uniqueId val="{00000000-D976-4821-A1F0-C87804A1D9A7}"/>
            </c:ext>
          </c:extLst>
        </c:ser>
        <c:ser>
          <c:idx val="1"/>
          <c:order val="1"/>
          <c:tx>
            <c:strRef>
              <c:f>Gráficas!$E$10:$E$11</c:f>
              <c:strCache>
                <c:ptCount val="1"/>
                <c:pt idx="0">
                  <c:v>En ejecución</c:v>
                </c:pt>
              </c:strCache>
            </c:strRef>
          </c:tx>
          <c:spPr>
            <a:solidFill>
              <a:schemeClr val="accent2"/>
            </a:solidFill>
            <a:ln>
              <a:noFill/>
            </a:ln>
            <a:effectLst/>
          </c:spPr>
          <c:invertIfNegative val="0"/>
          <c:cat>
            <c:strRef>
              <c:f>Gráficas!$C$12:$C$33</c:f>
              <c:strCache>
                <c:ptCount val="21"/>
                <c:pt idx="0">
                  <c:v>Acceso y Fortalecimiento a la Justicia      </c:v>
                </c:pt>
                <c:pt idx="1">
                  <c:v>Administración de Bienes Muebles e Inmuebles para
el Fortalecimiento de las Capacidades Operativas</c:v>
                </c:pt>
                <c:pt idx="2">
                  <c:v>Atención y Relación con el Ciudadano </c:v>
                </c:pt>
                <c:pt idx="3">
                  <c:v>Control Interno Disciplinario </c:v>
                </c:pt>
                <c:pt idx="4">
                  <c:v>Direccionamiento estratégico</c:v>
                </c:pt>
                <c:pt idx="5">
                  <c:v>Evaluación al sistema de control interno</c:v>
                </c:pt>
                <c:pt idx="6">
                  <c:v>Fortalecimiento Institucional</c:v>
                </c:pt>
                <c:pt idx="7">
                  <c:v>Gestión Contractual</c:v>
                </c:pt>
                <c:pt idx="8">
                  <c:v>Gestión de Comunicaciones  Estratégicas</c:v>
                </c:pt>
                <c:pt idx="9">
                  <c:v>Gestión de Emergencias</c:v>
                </c:pt>
                <c:pt idx="10">
                  <c:v>Gestión de Recursos Físicos al Servicio de la Entidad</c:v>
                </c:pt>
                <c:pt idx="11">
                  <c:v>Gestión de Seguridad y Convivencia</c:v>
                </c:pt>
                <c:pt idx="12">
                  <c:v>Gestión de tecnologías de la información</c:v>
                </c:pt>
                <c:pt idx="13">
                  <c:v>Gestión del Conocimiento y la Innovación Pública</c:v>
                </c:pt>
                <c:pt idx="14">
                  <c:v>Gestión Documental</c:v>
                </c:pt>
                <c:pt idx="15">
                  <c:v>Gestión Estratégica del Talento Humano</c:v>
                </c:pt>
                <c:pt idx="16">
                  <c:v>Gestión Financiera</c:v>
                </c:pt>
                <c:pt idx="17">
                  <c:v>Gestión Integral a las Personas Privadas de la Libertad -PPL-</c:v>
                </c:pt>
                <c:pt idx="18">
                  <c:v>Gestión Juridica</c:v>
                </c:pt>
                <c:pt idx="19">
                  <c:v>Gestión Tecnológica de Seguridad y Emergecias</c:v>
                </c:pt>
                <c:pt idx="20">
                  <c:v>Gestión y Análisis de la Información</c:v>
                </c:pt>
              </c:strCache>
            </c:strRef>
          </c:cat>
          <c:val>
            <c:numRef>
              <c:f>Gráficas!$E$12:$E$33</c:f>
              <c:numCache>
                <c:formatCode>General</c:formatCode>
                <c:ptCount val="21"/>
                <c:pt idx="7">
                  <c:v>1</c:v>
                </c:pt>
              </c:numCache>
            </c:numRef>
          </c:val>
          <c:extLst>
            <c:ext xmlns:c16="http://schemas.microsoft.com/office/drawing/2014/chart" uri="{C3380CC4-5D6E-409C-BE32-E72D297353CC}">
              <c16:uniqueId val="{00000013-0969-4503-B158-43046D4736DD}"/>
            </c:ext>
          </c:extLst>
        </c:ser>
        <c:ser>
          <c:idx val="2"/>
          <c:order val="2"/>
          <c:tx>
            <c:strRef>
              <c:f>Gráficas!$F$10:$F$11</c:f>
              <c:strCache>
                <c:ptCount val="1"/>
                <c:pt idx="0">
                  <c:v>(en blanco)</c:v>
                </c:pt>
              </c:strCache>
            </c:strRef>
          </c:tx>
          <c:spPr>
            <a:solidFill>
              <a:schemeClr val="accent3"/>
            </a:solidFill>
            <a:ln>
              <a:noFill/>
            </a:ln>
            <a:effectLst/>
          </c:spPr>
          <c:invertIfNegative val="0"/>
          <c:cat>
            <c:strRef>
              <c:f>Gráficas!$C$12:$C$33</c:f>
              <c:strCache>
                <c:ptCount val="21"/>
                <c:pt idx="0">
                  <c:v>Acceso y Fortalecimiento a la Justicia      </c:v>
                </c:pt>
                <c:pt idx="1">
                  <c:v>Administración de Bienes Muebles e Inmuebles para
el Fortalecimiento de las Capacidades Operativas</c:v>
                </c:pt>
                <c:pt idx="2">
                  <c:v>Atención y Relación con el Ciudadano </c:v>
                </c:pt>
                <c:pt idx="3">
                  <c:v>Control Interno Disciplinario </c:v>
                </c:pt>
                <c:pt idx="4">
                  <c:v>Direccionamiento estratégico</c:v>
                </c:pt>
                <c:pt idx="5">
                  <c:v>Evaluación al sistema de control interno</c:v>
                </c:pt>
                <c:pt idx="6">
                  <c:v>Fortalecimiento Institucional</c:v>
                </c:pt>
                <c:pt idx="7">
                  <c:v>Gestión Contractual</c:v>
                </c:pt>
                <c:pt idx="8">
                  <c:v>Gestión de Comunicaciones  Estratégicas</c:v>
                </c:pt>
                <c:pt idx="9">
                  <c:v>Gestión de Emergencias</c:v>
                </c:pt>
                <c:pt idx="10">
                  <c:v>Gestión de Recursos Físicos al Servicio de la Entidad</c:v>
                </c:pt>
                <c:pt idx="11">
                  <c:v>Gestión de Seguridad y Convivencia</c:v>
                </c:pt>
                <c:pt idx="12">
                  <c:v>Gestión de tecnologías de la información</c:v>
                </c:pt>
                <c:pt idx="13">
                  <c:v>Gestión del Conocimiento y la Innovación Pública</c:v>
                </c:pt>
                <c:pt idx="14">
                  <c:v>Gestión Documental</c:v>
                </c:pt>
                <c:pt idx="15">
                  <c:v>Gestión Estratégica del Talento Humano</c:v>
                </c:pt>
                <c:pt idx="16">
                  <c:v>Gestión Financiera</c:v>
                </c:pt>
                <c:pt idx="17">
                  <c:v>Gestión Integral a las Personas Privadas de la Libertad -PPL-</c:v>
                </c:pt>
                <c:pt idx="18">
                  <c:v>Gestión Juridica</c:v>
                </c:pt>
                <c:pt idx="19">
                  <c:v>Gestión Tecnológica de Seguridad y Emergecias</c:v>
                </c:pt>
                <c:pt idx="20">
                  <c:v>Gestión y Análisis de la Información</c:v>
                </c:pt>
              </c:strCache>
            </c:strRef>
          </c:cat>
          <c:val>
            <c:numRef>
              <c:f>Gráficas!$F$12:$F$33</c:f>
              <c:numCache>
                <c:formatCode>General</c:formatCode>
                <c:ptCount val="21"/>
              </c:numCache>
            </c:numRef>
          </c:val>
          <c:extLst>
            <c:ext xmlns:c16="http://schemas.microsoft.com/office/drawing/2014/chart" uri="{C3380CC4-5D6E-409C-BE32-E72D297353CC}">
              <c16:uniqueId val="{00000014-0969-4503-B158-43046D4736DD}"/>
            </c:ext>
          </c:extLst>
        </c:ser>
        <c:dLbls>
          <c:showLegendKey val="0"/>
          <c:showVal val="0"/>
          <c:showCatName val="0"/>
          <c:showSerName val="0"/>
          <c:showPercent val="0"/>
          <c:showBubbleSize val="0"/>
        </c:dLbls>
        <c:gapWidth val="150"/>
        <c:overlap val="100"/>
        <c:axId val="664690448"/>
        <c:axId val="1994156272"/>
      </c:barChart>
      <c:catAx>
        <c:axId val="664690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994156272"/>
        <c:crosses val="autoZero"/>
        <c:auto val="1"/>
        <c:lblAlgn val="ctr"/>
        <c:lblOffset val="100"/>
        <c:noMultiLvlLbl val="0"/>
      </c:catAx>
      <c:valAx>
        <c:axId val="19941562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6646904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14</xdr:col>
      <xdr:colOff>0</xdr:colOff>
      <xdr:row>14</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19364325" y="245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6</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19364325"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11</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19364325"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19364325" y="731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B000000}"/>
            </a:ext>
          </a:extLst>
        </xdr:cNvPr>
        <xdr:cNvSpPr>
          <a:spLocks noChangeAspect="1" noChangeArrowheads="1"/>
        </xdr:cNvSpPr>
      </xdr:nvSpPr>
      <xdr:spPr bwMode="auto">
        <a:xfrm>
          <a:off x="19812000" y="10229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C000000}"/>
            </a:ext>
          </a:extLst>
        </xdr:cNvPr>
        <xdr:cNvSpPr>
          <a:spLocks noChangeAspect="1" noChangeArrowheads="1"/>
        </xdr:cNvSpPr>
      </xdr:nvSpPr>
      <xdr:spPr bwMode="auto">
        <a:xfrm>
          <a:off x="19812000" y="1120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84</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19812000" y="1239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19812000" y="1358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80</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F000000}"/>
            </a:ext>
          </a:extLst>
        </xdr:cNvPr>
        <xdr:cNvSpPr>
          <a:spLocks noChangeAspect="1" noChangeArrowheads="1"/>
        </xdr:cNvSpPr>
      </xdr:nvSpPr>
      <xdr:spPr bwMode="auto">
        <a:xfrm>
          <a:off x="19812000" y="1476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83</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0000000}"/>
            </a:ext>
          </a:extLst>
        </xdr:cNvPr>
        <xdr:cNvSpPr>
          <a:spLocks noChangeAspect="1" noChangeArrowheads="1"/>
        </xdr:cNvSpPr>
      </xdr:nvSpPr>
      <xdr:spPr bwMode="auto">
        <a:xfrm>
          <a:off x="19812000" y="15944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85</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1000000}"/>
            </a:ext>
          </a:extLst>
        </xdr:cNvPr>
        <xdr:cNvSpPr>
          <a:spLocks noChangeAspect="1" noChangeArrowheads="1"/>
        </xdr:cNvSpPr>
      </xdr:nvSpPr>
      <xdr:spPr bwMode="auto">
        <a:xfrm>
          <a:off x="19812000" y="1712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82</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2000000}"/>
            </a:ext>
          </a:extLst>
        </xdr:cNvPr>
        <xdr:cNvSpPr>
          <a:spLocks noChangeAspect="1" noChangeArrowheads="1"/>
        </xdr:cNvSpPr>
      </xdr:nvSpPr>
      <xdr:spPr bwMode="auto">
        <a:xfrm>
          <a:off x="19812000" y="1977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4000000}"/>
            </a:ext>
          </a:extLst>
        </xdr:cNvPr>
        <xdr:cNvSpPr>
          <a:spLocks noChangeAspect="1" noChangeArrowheads="1"/>
        </xdr:cNvSpPr>
      </xdr:nvSpPr>
      <xdr:spPr bwMode="auto">
        <a:xfrm>
          <a:off x="19812000" y="2230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20</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5000000}"/>
            </a:ext>
          </a:extLst>
        </xdr:cNvPr>
        <xdr:cNvSpPr>
          <a:spLocks noChangeAspect="1" noChangeArrowheads="1"/>
        </xdr:cNvSpPr>
      </xdr:nvSpPr>
      <xdr:spPr bwMode="auto">
        <a:xfrm>
          <a:off x="19812000" y="2444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24</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6000000}"/>
            </a:ext>
          </a:extLst>
        </xdr:cNvPr>
        <xdr:cNvSpPr>
          <a:spLocks noChangeAspect="1" noChangeArrowheads="1"/>
        </xdr:cNvSpPr>
      </xdr:nvSpPr>
      <xdr:spPr bwMode="auto">
        <a:xfrm>
          <a:off x="19812000" y="2571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7000000}"/>
            </a:ext>
          </a:extLst>
        </xdr:cNvPr>
        <xdr:cNvSpPr>
          <a:spLocks noChangeAspect="1" noChangeArrowheads="1"/>
        </xdr:cNvSpPr>
      </xdr:nvSpPr>
      <xdr:spPr bwMode="auto">
        <a:xfrm>
          <a:off x="19812000" y="2700617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29</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8000000}"/>
            </a:ext>
          </a:extLst>
        </xdr:cNvPr>
        <xdr:cNvSpPr>
          <a:spLocks noChangeAspect="1" noChangeArrowheads="1"/>
        </xdr:cNvSpPr>
      </xdr:nvSpPr>
      <xdr:spPr bwMode="auto">
        <a:xfrm>
          <a:off x="19812000" y="2843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27</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9000000}"/>
            </a:ext>
          </a:extLst>
        </xdr:cNvPr>
        <xdr:cNvSpPr>
          <a:spLocks noChangeAspect="1" noChangeArrowheads="1"/>
        </xdr:cNvSpPr>
      </xdr:nvSpPr>
      <xdr:spPr bwMode="auto">
        <a:xfrm>
          <a:off x="19812000" y="2987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16</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C000000}"/>
            </a:ext>
          </a:extLst>
        </xdr:cNvPr>
        <xdr:cNvSpPr>
          <a:spLocks noChangeAspect="1" noChangeArrowheads="1"/>
        </xdr:cNvSpPr>
      </xdr:nvSpPr>
      <xdr:spPr bwMode="auto">
        <a:xfrm>
          <a:off x="19812000" y="3247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D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E000000}"/>
            </a:ext>
          </a:extLst>
        </xdr:cNvPr>
        <xdr:cNvSpPr>
          <a:spLocks noChangeAspect="1" noChangeArrowheads="1"/>
        </xdr:cNvSpPr>
      </xdr:nvSpPr>
      <xdr:spPr bwMode="auto">
        <a:xfrm>
          <a:off x="19812000" y="3603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31</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F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26</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0000000}"/>
            </a:ext>
          </a:extLst>
        </xdr:cNvPr>
        <xdr:cNvSpPr>
          <a:spLocks noChangeAspect="1" noChangeArrowheads="1"/>
        </xdr:cNvSpPr>
      </xdr:nvSpPr>
      <xdr:spPr bwMode="auto">
        <a:xfrm>
          <a:off x="19812000"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26</xdr:row>
      <xdr:rowOff>0</xdr:rowOff>
    </xdr:from>
    <xdr:ext cx="304800" cy="304800"/>
    <xdr:sp macro="" textlink="">
      <xdr:nvSpPr>
        <xdr:cNvPr id="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1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26</xdr:row>
      <xdr:rowOff>0</xdr:rowOff>
    </xdr:from>
    <xdr:ext cx="304800" cy="304800"/>
    <xdr:sp macro="" textlink="">
      <xdr:nvSpPr>
        <xdr:cNvPr id="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2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3000000}"/>
            </a:ext>
          </a:extLst>
        </xdr:cNvPr>
        <xdr:cNvSpPr>
          <a:spLocks noChangeAspect="1" noChangeArrowheads="1"/>
        </xdr:cNvSpPr>
      </xdr:nvSpPr>
      <xdr:spPr bwMode="auto">
        <a:xfrm>
          <a:off x="11544300" y="3713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49</xdr:col>
      <xdr:colOff>710712</xdr:colOff>
      <xdr:row>98</xdr:row>
      <xdr:rowOff>71877</xdr:rowOff>
    </xdr:from>
    <xdr:to>
      <xdr:col>49</xdr:col>
      <xdr:colOff>1679627</xdr:colOff>
      <xdr:row>98</xdr:row>
      <xdr:rowOff>649162</xdr:rowOff>
    </xdr:to>
    <xdr:pic>
      <xdr:nvPicPr>
        <xdr:cNvPr id="40" name="Imagen 39">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05212" y="36721146"/>
          <a:ext cx="968915" cy="577285"/>
        </a:xfrm>
        <a:prstGeom prst="rect">
          <a:avLst/>
        </a:prstGeom>
      </xdr:spPr>
    </xdr:pic>
    <xdr:clientData/>
  </xdr:twoCellAnchor>
  <xdr:oneCellAnchor>
    <xdr:from>
      <xdr:col>14</xdr:col>
      <xdr:colOff>0</xdr:colOff>
      <xdr:row>7</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5000000}"/>
            </a:ext>
          </a:extLst>
        </xdr:cNvPr>
        <xdr:cNvSpPr>
          <a:spLocks noChangeAspect="1" noChangeArrowheads="1"/>
        </xdr:cNvSpPr>
      </xdr:nvSpPr>
      <xdr:spPr bwMode="auto">
        <a:xfrm>
          <a:off x="21046109" y="1813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10</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9000000}"/>
            </a:ext>
          </a:extLst>
        </xdr:cNvPr>
        <xdr:cNvSpPr>
          <a:spLocks noChangeAspect="1" noChangeArrowheads="1"/>
        </xdr:cNvSpPr>
      </xdr:nvSpPr>
      <xdr:spPr bwMode="auto">
        <a:xfrm>
          <a:off x="22570109" y="2782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A000000}"/>
            </a:ext>
          </a:extLst>
        </xdr:cNvPr>
        <xdr:cNvSpPr>
          <a:spLocks noChangeAspect="1" noChangeArrowheads="1"/>
        </xdr:cNvSpPr>
      </xdr:nvSpPr>
      <xdr:spPr bwMode="auto">
        <a:xfrm>
          <a:off x="22934543" y="47210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B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C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D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11</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E000000}"/>
            </a:ext>
          </a:extLst>
        </xdr:cNvPr>
        <xdr:cNvSpPr>
          <a:spLocks noChangeAspect="1" noChangeArrowheads="1"/>
        </xdr:cNvSpPr>
      </xdr:nvSpPr>
      <xdr:spPr bwMode="auto">
        <a:xfrm>
          <a:off x="22934543" y="7984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F000000}"/>
            </a:ext>
          </a:extLst>
        </xdr:cNvPr>
        <xdr:cNvSpPr>
          <a:spLocks noChangeAspect="1" noChangeArrowheads="1"/>
        </xdr:cNvSpPr>
      </xdr:nvSpPr>
      <xdr:spPr bwMode="auto">
        <a:xfrm>
          <a:off x="22934543" y="320288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0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1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25</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2000000}"/>
            </a:ext>
          </a:extLst>
        </xdr:cNvPr>
        <xdr:cNvSpPr>
          <a:spLocks noChangeAspect="1" noChangeArrowheads="1"/>
        </xdr:cNvSpPr>
      </xdr:nvSpPr>
      <xdr:spPr bwMode="auto">
        <a:xfrm>
          <a:off x="22615071" y="158659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3000000}"/>
            </a:ext>
          </a:extLst>
        </xdr:cNvPr>
        <xdr:cNvSpPr>
          <a:spLocks noChangeAspect="1" noChangeArrowheads="1"/>
        </xdr:cNvSpPr>
      </xdr:nvSpPr>
      <xdr:spPr bwMode="auto">
        <a:xfrm>
          <a:off x="21064904" y="542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4000000}"/>
            </a:ext>
          </a:extLst>
        </xdr:cNvPr>
        <xdr:cNvSpPr>
          <a:spLocks noChangeAspect="1" noChangeArrowheads="1"/>
        </xdr:cNvSpPr>
      </xdr:nvSpPr>
      <xdr:spPr bwMode="auto">
        <a:xfrm>
          <a:off x="21044647"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5000000}"/>
            </a:ext>
          </a:extLst>
        </xdr:cNvPr>
        <xdr:cNvSpPr>
          <a:spLocks noChangeAspect="1" noChangeArrowheads="1"/>
        </xdr:cNvSpPr>
      </xdr:nvSpPr>
      <xdr:spPr bwMode="auto">
        <a:xfrm>
          <a:off x="21044647"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6000000}"/>
            </a:ext>
          </a:extLst>
        </xdr:cNvPr>
        <xdr:cNvSpPr>
          <a:spLocks noChangeAspect="1" noChangeArrowheads="1"/>
        </xdr:cNvSpPr>
      </xdr:nvSpPr>
      <xdr:spPr bwMode="auto">
        <a:xfrm>
          <a:off x="21044647" y="99284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7000000}"/>
            </a:ext>
          </a:extLst>
        </xdr:cNvPr>
        <xdr:cNvSpPr>
          <a:spLocks noChangeAspect="1" noChangeArrowheads="1"/>
        </xdr:cNvSpPr>
      </xdr:nvSpPr>
      <xdr:spPr bwMode="auto">
        <a:xfrm>
          <a:off x="21044647" y="99284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11</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84</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80</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83</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82</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81</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20</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24</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29</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27</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28</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31</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87</xdr:row>
      <xdr:rowOff>0</xdr:rowOff>
    </xdr:from>
    <xdr:ext cx="304800" cy="304800"/>
    <xdr:sp macro="" textlink="">
      <xdr:nvSpPr>
        <xdr:cNvPr id="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87</xdr:row>
      <xdr:rowOff>0</xdr:rowOff>
    </xdr:from>
    <xdr:ext cx="304800" cy="304800"/>
    <xdr:sp macro="" textlink="">
      <xdr:nvSpPr>
        <xdr:cNvPr id="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87</xdr:row>
      <xdr:rowOff>0</xdr:rowOff>
    </xdr:from>
    <xdr:ext cx="304800" cy="304800"/>
    <xdr:sp macro="" textlink="">
      <xdr:nvSpPr>
        <xdr:cNvPr id="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10</xdr:row>
      <xdr:rowOff>0</xdr:rowOff>
    </xdr:from>
    <xdr:ext cx="304800" cy="304800"/>
    <xdr:sp macro="" textlink="">
      <xdr:nvSpPr>
        <xdr:cNvPr id="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31</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31</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85</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25</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10</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11</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84</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84</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80</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83</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25</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81</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86</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24</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29</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27</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28</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16</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31</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34</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93</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93</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93</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31</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11</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11</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11</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31</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82</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85</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11</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11</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80</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83</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25</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85</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86</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29</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27</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28</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16</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31</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34</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35</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73</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73</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73</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11</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34</xdr:row>
      <xdr:rowOff>0</xdr:rowOff>
    </xdr:from>
    <xdr:ext cx="304800" cy="304800"/>
    <xdr:sp macro="" textlink="">
      <xdr:nvSpPr>
        <xdr:cNvPr id="1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34</xdr:row>
      <xdr:rowOff>0</xdr:rowOff>
    </xdr:from>
    <xdr:ext cx="304800" cy="304800"/>
    <xdr:sp macro="" textlink="">
      <xdr:nvSpPr>
        <xdr:cNvPr id="1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81</xdr:row>
      <xdr:rowOff>0</xdr:rowOff>
    </xdr:from>
    <xdr:ext cx="304800" cy="304800"/>
    <xdr:sp macro="" textlink="">
      <xdr:nvSpPr>
        <xdr:cNvPr id="1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82</xdr:row>
      <xdr:rowOff>0</xdr:rowOff>
    </xdr:from>
    <xdr:ext cx="304800" cy="304800"/>
    <xdr:sp macro="" textlink="">
      <xdr:nvSpPr>
        <xdr:cNvPr id="1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1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1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84</xdr:row>
      <xdr:rowOff>0</xdr:rowOff>
    </xdr:from>
    <xdr:ext cx="304800" cy="304800"/>
    <xdr:sp macro="" textlink="">
      <xdr:nvSpPr>
        <xdr:cNvPr id="1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84</xdr:row>
      <xdr:rowOff>0</xdr:rowOff>
    </xdr:from>
    <xdr:ext cx="304800" cy="304800"/>
    <xdr:sp macro="" textlink="">
      <xdr:nvSpPr>
        <xdr:cNvPr id="1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1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1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1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11</xdr:row>
      <xdr:rowOff>0</xdr:rowOff>
    </xdr:from>
    <xdr:ext cx="304800" cy="304800"/>
    <xdr:sp macro="" textlink="">
      <xdr:nvSpPr>
        <xdr:cNvPr id="2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11</xdr:row>
      <xdr:rowOff>0</xdr:rowOff>
    </xdr:from>
    <xdr:ext cx="304800" cy="304800"/>
    <xdr:sp macro="" textlink="">
      <xdr:nvSpPr>
        <xdr:cNvPr id="2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2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2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2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2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2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80</xdr:row>
      <xdr:rowOff>0</xdr:rowOff>
    </xdr:from>
    <xdr:ext cx="304800" cy="304800"/>
    <xdr:sp macro="" textlink="">
      <xdr:nvSpPr>
        <xdr:cNvPr id="2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83</xdr:row>
      <xdr:rowOff>0</xdr:rowOff>
    </xdr:from>
    <xdr:ext cx="304800" cy="304800"/>
    <xdr:sp macro="" textlink="">
      <xdr:nvSpPr>
        <xdr:cNvPr id="2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xdr:row>
      <xdr:rowOff>0</xdr:rowOff>
    </xdr:from>
    <xdr:ext cx="304800" cy="304800"/>
    <xdr:sp macro="" textlink="">
      <xdr:nvSpPr>
        <xdr:cNvPr id="2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25</xdr:row>
      <xdr:rowOff>0</xdr:rowOff>
    </xdr:from>
    <xdr:ext cx="304800" cy="304800"/>
    <xdr:sp macro="" textlink="">
      <xdr:nvSpPr>
        <xdr:cNvPr id="2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85</xdr:row>
      <xdr:rowOff>0</xdr:rowOff>
    </xdr:from>
    <xdr:ext cx="304800" cy="304800"/>
    <xdr:sp macro="" textlink="">
      <xdr:nvSpPr>
        <xdr:cNvPr id="2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86</xdr:row>
      <xdr:rowOff>0</xdr:rowOff>
    </xdr:from>
    <xdr:ext cx="304800" cy="304800"/>
    <xdr:sp macro="" textlink="">
      <xdr:nvSpPr>
        <xdr:cNvPr id="2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2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2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29</xdr:row>
      <xdr:rowOff>0</xdr:rowOff>
    </xdr:from>
    <xdr:ext cx="304800" cy="304800"/>
    <xdr:sp macro="" textlink="">
      <xdr:nvSpPr>
        <xdr:cNvPr id="2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27</xdr:row>
      <xdr:rowOff>0</xdr:rowOff>
    </xdr:from>
    <xdr:ext cx="304800" cy="304800"/>
    <xdr:sp macro="" textlink="">
      <xdr:nvSpPr>
        <xdr:cNvPr id="2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28</xdr:row>
      <xdr:rowOff>0</xdr:rowOff>
    </xdr:from>
    <xdr:ext cx="304800" cy="304800"/>
    <xdr:sp macro="" textlink="">
      <xdr:nvSpPr>
        <xdr:cNvPr id="2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16</xdr:row>
      <xdr:rowOff>0</xdr:rowOff>
    </xdr:from>
    <xdr:ext cx="304800" cy="304800"/>
    <xdr:sp macro="" textlink="">
      <xdr:nvSpPr>
        <xdr:cNvPr id="2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2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31</xdr:row>
      <xdr:rowOff>0</xdr:rowOff>
    </xdr:from>
    <xdr:ext cx="304800" cy="304800"/>
    <xdr:sp macro="" textlink="">
      <xdr:nvSpPr>
        <xdr:cNvPr id="2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2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34</xdr:row>
      <xdr:rowOff>0</xdr:rowOff>
    </xdr:from>
    <xdr:ext cx="304800" cy="304800"/>
    <xdr:sp macro="" textlink="">
      <xdr:nvSpPr>
        <xdr:cNvPr id="2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35</xdr:row>
      <xdr:rowOff>0</xdr:rowOff>
    </xdr:from>
    <xdr:ext cx="304800" cy="304800"/>
    <xdr:sp macro="" textlink="">
      <xdr:nvSpPr>
        <xdr:cNvPr id="2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73</xdr:row>
      <xdr:rowOff>0</xdr:rowOff>
    </xdr:from>
    <xdr:ext cx="304800" cy="304800"/>
    <xdr:sp macro="" textlink="">
      <xdr:nvSpPr>
        <xdr:cNvPr id="2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73</xdr:row>
      <xdr:rowOff>0</xdr:rowOff>
    </xdr:from>
    <xdr:ext cx="304800" cy="304800"/>
    <xdr:sp macro="" textlink="">
      <xdr:nvSpPr>
        <xdr:cNvPr id="2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73</xdr:row>
      <xdr:rowOff>0</xdr:rowOff>
    </xdr:from>
    <xdr:ext cx="304800" cy="304800"/>
    <xdr:sp macro="" textlink="">
      <xdr:nvSpPr>
        <xdr:cNvPr id="2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2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2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2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11</xdr:row>
      <xdr:rowOff>0</xdr:rowOff>
    </xdr:from>
    <xdr:ext cx="304800" cy="304800"/>
    <xdr:sp macro="" textlink="">
      <xdr:nvSpPr>
        <xdr:cNvPr id="2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2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2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2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2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2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34</xdr:row>
      <xdr:rowOff>0</xdr:rowOff>
    </xdr:from>
    <xdr:ext cx="304800" cy="304800"/>
    <xdr:sp macro="" textlink="">
      <xdr:nvSpPr>
        <xdr:cNvPr id="2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34</xdr:row>
      <xdr:rowOff>0</xdr:rowOff>
    </xdr:from>
    <xdr:ext cx="304800" cy="304800"/>
    <xdr:sp macro="" textlink="">
      <xdr:nvSpPr>
        <xdr:cNvPr id="2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81</xdr:row>
      <xdr:rowOff>0</xdr:rowOff>
    </xdr:from>
    <xdr:ext cx="304800" cy="304800"/>
    <xdr:sp macro="" textlink="">
      <xdr:nvSpPr>
        <xdr:cNvPr id="2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82</xdr:row>
      <xdr:rowOff>0</xdr:rowOff>
    </xdr:from>
    <xdr:ext cx="304800" cy="304800"/>
    <xdr:sp macro="" textlink="">
      <xdr:nvSpPr>
        <xdr:cNvPr id="2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2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2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84</xdr:row>
      <xdr:rowOff>0</xdr:rowOff>
    </xdr:from>
    <xdr:ext cx="304800" cy="304800"/>
    <xdr:sp macro="" textlink="">
      <xdr:nvSpPr>
        <xdr:cNvPr id="2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84</xdr:row>
      <xdr:rowOff>0</xdr:rowOff>
    </xdr:from>
    <xdr:ext cx="304800" cy="304800"/>
    <xdr:sp macro="" textlink="">
      <xdr:nvSpPr>
        <xdr:cNvPr id="2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2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11</xdr:row>
      <xdr:rowOff>0</xdr:rowOff>
    </xdr:from>
    <xdr:ext cx="304800" cy="304800"/>
    <xdr:sp macro="" textlink="">
      <xdr:nvSpPr>
        <xdr:cNvPr id="2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2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2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2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2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2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2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80</xdr:row>
      <xdr:rowOff>0</xdr:rowOff>
    </xdr:from>
    <xdr:ext cx="304800" cy="304800"/>
    <xdr:sp macro="" textlink="">
      <xdr:nvSpPr>
        <xdr:cNvPr id="2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80</xdr:row>
      <xdr:rowOff>0</xdr:rowOff>
    </xdr:from>
    <xdr:ext cx="304800" cy="304800"/>
    <xdr:sp macro="" textlink="">
      <xdr:nvSpPr>
        <xdr:cNvPr id="2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83</xdr:row>
      <xdr:rowOff>0</xdr:rowOff>
    </xdr:from>
    <xdr:ext cx="304800" cy="304800"/>
    <xdr:sp macro="" textlink="">
      <xdr:nvSpPr>
        <xdr:cNvPr id="2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xdr:row>
      <xdr:rowOff>0</xdr:rowOff>
    </xdr:from>
    <xdr:ext cx="304800" cy="304800"/>
    <xdr:sp macro="" textlink="">
      <xdr:nvSpPr>
        <xdr:cNvPr id="2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25</xdr:row>
      <xdr:rowOff>0</xdr:rowOff>
    </xdr:from>
    <xdr:ext cx="304800" cy="304800"/>
    <xdr:sp macro="" textlink="">
      <xdr:nvSpPr>
        <xdr:cNvPr id="2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85</xdr:row>
      <xdr:rowOff>0</xdr:rowOff>
    </xdr:from>
    <xdr:ext cx="304800" cy="304800"/>
    <xdr:sp macro="" textlink="">
      <xdr:nvSpPr>
        <xdr:cNvPr id="2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82</xdr:row>
      <xdr:rowOff>0</xdr:rowOff>
    </xdr:from>
    <xdr:ext cx="304800" cy="304800"/>
    <xdr:sp macro="" textlink="">
      <xdr:nvSpPr>
        <xdr:cNvPr id="2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2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20</xdr:row>
      <xdr:rowOff>0</xdr:rowOff>
    </xdr:from>
    <xdr:ext cx="304800" cy="304800"/>
    <xdr:sp macro="" textlink="">
      <xdr:nvSpPr>
        <xdr:cNvPr id="2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29</xdr:row>
      <xdr:rowOff>0</xdr:rowOff>
    </xdr:from>
    <xdr:ext cx="304800" cy="304800"/>
    <xdr:sp macro="" textlink="">
      <xdr:nvSpPr>
        <xdr:cNvPr id="2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27</xdr:row>
      <xdr:rowOff>0</xdr:rowOff>
    </xdr:from>
    <xdr:ext cx="304800" cy="304800"/>
    <xdr:sp macro="" textlink="">
      <xdr:nvSpPr>
        <xdr:cNvPr id="2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28</xdr:row>
      <xdr:rowOff>0</xdr:rowOff>
    </xdr:from>
    <xdr:ext cx="304800" cy="304800"/>
    <xdr:sp macro="" textlink="">
      <xdr:nvSpPr>
        <xdr:cNvPr id="2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16</xdr:row>
      <xdr:rowOff>0</xdr:rowOff>
    </xdr:from>
    <xdr:ext cx="304800" cy="304800"/>
    <xdr:sp macro="" textlink="">
      <xdr:nvSpPr>
        <xdr:cNvPr id="2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2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2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2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34</xdr:row>
      <xdr:rowOff>0</xdr:rowOff>
    </xdr:from>
    <xdr:ext cx="304800" cy="304800"/>
    <xdr:sp macro="" textlink="">
      <xdr:nvSpPr>
        <xdr:cNvPr id="2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35</xdr:row>
      <xdr:rowOff>0</xdr:rowOff>
    </xdr:from>
    <xdr:ext cx="304800" cy="304800"/>
    <xdr:sp macro="" textlink="">
      <xdr:nvSpPr>
        <xdr:cNvPr id="2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36</xdr:row>
      <xdr:rowOff>0</xdr:rowOff>
    </xdr:from>
    <xdr:ext cx="304800" cy="304800"/>
    <xdr:sp macro="" textlink="">
      <xdr:nvSpPr>
        <xdr:cNvPr id="2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94</xdr:row>
      <xdr:rowOff>0</xdr:rowOff>
    </xdr:from>
    <xdr:ext cx="304800" cy="304800"/>
    <xdr:sp macro="" textlink="">
      <xdr:nvSpPr>
        <xdr:cNvPr id="2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94</xdr:row>
      <xdr:rowOff>0</xdr:rowOff>
    </xdr:from>
    <xdr:ext cx="304800" cy="304800"/>
    <xdr:sp macro="" textlink="">
      <xdr:nvSpPr>
        <xdr:cNvPr id="2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94</xdr:row>
      <xdr:rowOff>0</xdr:rowOff>
    </xdr:from>
    <xdr:ext cx="304800" cy="304800"/>
    <xdr:sp macro="" textlink="">
      <xdr:nvSpPr>
        <xdr:cNvPr id="2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34</xdr:row>
      <xdr:rowOff>0</xdr:rowOff>
    </xdr:from>
    <xdr:ext cx="304800" cy="304800"/>
    <xdr:sp macro="" textlink="">
      <xdr:nvSpPr>
        <xdr:cNvPr id="2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2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2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2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2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2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2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2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34</xdr:row>
      <xdr:rowOff>0</xdr:rowOff>
    </xdr:from>
    <xdr:ext cx="304800" cy="304800"/>
    <xdr:sp macro="" textlink="">
      <xdr:nvSpPr>
        <xdr:cNvPr id="2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35</xdr:row>
      <xdr:rowOff>0</xdr:rowOff>
    </xdr:from>
    <xdr:ext cx="304800" cy="304800"/>
    <xdr:sp macro="" textlink="">
      <xdr:nvSpPr>
        <xdr:cNvPr id="2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35</xdr:row>
      <xdr:rowOff>0</xdr:rowOff>
    </xdr:from>
    <xdr:ext cx="304800" cy="304800"/>
    <xdr:sp macro="" textlink="">
      <xdr:nvSpPr>
        <xdr:cNvPr id="2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86</xdr:row>
      <xdr:rowOff>0</xdr:rowOff>
    </xdr:from>
    <xdr:ext cx="304800" cy="304800"/>
    <xdr:sp macro="" textlink="">
      <xdr:nvSpPr>
        <xdr:cNvPr id="2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81</xdr:row>
      <xdr:rowOff>0</xdr:rowOff>
    </xdr:from>
    <xdr:ext cx="304800" cy="304800"/>
    <xdr:sp macro="" textlink="">
      <xdr:nvSpPr>
        <xdr:cNvPr id="2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84</xdr:row>
      <xdr:rowOff>0</xdr:rowOff>
    </xdr:from>
    <xdr:ext cx="304800" cy="304800"/>
    <xdr:sp macro="" textlink="">
      <xdr:nvSpPr>
        <xdr:cNvPr id="2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84</xdr:row>
      <xdr:rowOff>0</xdr:rowOff>
    </xdr:from>
    <xdr:ext cx="304800" cy="304800"/>
    <xdr:sp macro="" textlink="">
      <xdr:nvSpPr>
        <xdr:cNvPr id="2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2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2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11</xdr:row>
      <xdr:rowOff>0</xdr:rowOff>
    </xdr:from>
    <xdr:ext cx="304800" cy="304800"/>
    <xdr:sp macro="" textlink="">
      <xdr:nvSpPr>
        <xdr:cNvPr id="2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2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2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2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2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2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2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84</xdr:row>
      <xdr:rowOff>0</xdr:rowOff>
    </xdr:from>
    <xdr:ext cx="304800" cy="304800"/>
    <xdr:sp macro="" textlink="">
      <xdr:nvSpPr>
        <xdr:cNvPr id="2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83</xdr:row>
      <xdr:rowOff>0</xdr:rowOff>
    </xdr:from>
    <xdr:ext cx="304800" cy="304800"/>
    <xdr:sp macro="" textlink="">
      <xdr:nvSpPr>
        <xdr:cNvPr id="2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83</xdr:row>
      <xdr:rowOff>0</xdr:rowOff>
    </xdr:from>
    <xdr:ext cx="304800" cy="304800"/>
    <xdr:sp macro="" textlink="">
      <xdr:nvSpPr>
        <xdr:cNvPr id="3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xdr:row>
      <xdr:rowOff>0</xdr:rowOff>
    </xdr:from>
    <xdr:ext cx="304800" cy="304800"/>
    <xdr:sp macro="" textlink="">
      <xdr:nvSpPr>
        <xdr:cNvPr id="3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25</xdr:row>
      <xdr:rowOff>0</xdr:rowOff>
    </xdr:from>
    <xdr:ext cx="304800" cy="304800"/>
    <xdr:sp macro="" textlink="">
      <xdr:nvSpPr>
        <xdr:cNvPr id="3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85</xdr:row>
      <xdr:rowOff>0</xdr:rowOff>
    </xdr:from>
    <xdr:ext cx="304800" cy="304800"/>
    <xdr:sp macro="" textlink="">
      <xdr:nvSpPr>
        <xdr:cNvPr id="3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82</xdr:row>
      <xdr:rowOff>0</xdr:rowOff>
    </xdr:from>
    <xdr:ext cx="304800" cy="304800"/>
    <xdr:sp macro="" textlink="">
      <xdr:nvSpPr>
        <xdr:cNvPr id="3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81</xdr:row>
      <xdr:rowOff>0</xdr:rowOff>
    </xdr:from>
    <xdr:ext cx="304800" cy="304800"/>
    <xdr:sp macro="" textlink="">
      <xdr:nvSpPr>
        <xdr:cNvPr id="3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20</xdr:row>
      <xdr:rowOff>0</xdr:rowOff>
    </xdr:from>
    <xdr:ext cx="304800" cy="304800"/>
    <xdr:sp macro="" textlink="">
      <xdr:nvSpPr>
        <xdr:cNvPr id="3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24</xdr:row>
      <xdr:rowOff>0</xdr:rowOff>
    </xdr:from>
    <xdr:ext cx="304800" cy="304800"/>
    <xdr:sp macro="" textlink="">
      <xdr:nvSpPr>
        <xdr:cNvPr id="3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27</xdr:row>
      <xdr:rowOff>0</xdr:rowOff>
    </xdr:from>
    <xdr:ext cx="304800" cy="304800"/>
    <xdr:sp macro="" textlink="">
      <xdr:nvSpPr>
        <xdr:cNvPr id="3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28</xdr:row>
      <xdr:rowOff>0</xdr:rowOff>
    </xdr:from>
    <xdr:ext cx="304800" cy="304800"/>
    <xdr:sp macro="" textlink="">
      <xdr:nvSpPr>
        <xdr:cNvPr id="3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16</xdr:row>
      <xdr:rowOff>0</xdr:rowOff>
    </xdr:from>
    <xdr:ext cx="304800" cy="304800"/>
    <xdr:sp macro="" textlink="">
      <xdr:nvSpPr>
        <xdr:cNvPr id="3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3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3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31</xdr:row>
      <xdr:rowOff>0</xdr:rowOff>
    </xdr:from>
    <xdr:ext cx="304800" cy="304800"/>
    <xdr:sp macro="" textlink="">
      <xdr:nvSpPr>
        <xdr:cNvPr id="3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34</xdr:row>
      <xdr:rowOff>0</xdr:rowOff>
    </xdr:from>
    <xdr:ext cx="304800" cy="304800"/>
    <xdr:sp macro="" textlink="">
      <xdr:nvSpPr>
        <xdr:cNvPr id="3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35</xdr:row>
      <xdr:rowOff>0</xdr:rowOff>
    </xdr:from>
    <xdr:ext cx="304800" cy="304800"/>
    <xdr:sp macro="" textlink="">
      <xdr:nvSpPr>
        <xdr:cNvPr id="3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36</xdr:row>
      <xdr:rowOff>0</xdr:rowOff>
    </xdr:from>
    <xdr:ext cx="304800" cy="304800"/>
    <xdr:sp macro="" textlink="">
      <xdr:nvSpPr>
        <xdr:cNvPr id="3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3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49</xdr:row>
      <xdr:rowOff>0</xdr:rowOff>
    </xdr:from>
    <xdr:ext cx="304800" cy="304800"/>
    <xdr:sp macro="" textlink="">
      <xdr:nvSpPr>
        <xdr:cNvPr id="3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49</xdr:row>
      <xdr:rowOff>0</xdr:rowOff>
    </xdr:from>
    <xdr:ext cx="304800" cy="304800"/>
    <xdr:sp macro="" textlink="">
      <xdr:nvSpPr>
        <xdr:cNvPr id="3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49</xdr:row>
      <xdr:rowOff>0</xdr:rowOff>
    </xdr:from>
    <xdr:ext cx="304800" cy="304800"/>
    <xdr:sp macro="" textlink="">
      <xdr:nvSpPr>
        <xdr:cNvPr id="3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35</xdr:row>
      <xdr:rowOff>0</xdr:rowOff>
    </xdr:from>
    <xdr:ext cx="304800" cy="304800"/>
    <xdr:sp macro="" textlink="">
      <xdr:nvSpPr>
        <xdr:cNvPr id="3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3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11</xdr:row>
      <xdr:rowOff>0</xdr:rowOff>
    </xdr:from>
    <xdr:ext cx="304800" cy="304800"/>
    <xdr:sp macro="" textlink="">
      <xdr:nvSpPr>
        <xdr:cNvPr id="3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3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3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3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3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84</xdr:row>
      <xdr:rowOff>0</xdr:rowOff>
    </xdr:from>
    <xdr:ext cx="304800" cy="304800"/>
    <xdr:sp macro="" textlink="">
      <xdr:nvSpPr>
        <xdr:cNvPr id="3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35</xdr:row>
      <xdr:rowOff>0</xdr:rowOff>
    </xdr:from>
    <xdr:ext cx="304800" cy="304800"/>
    <xdr:sp macro="" textlink="">
      <xdr:nvSpPr>
        <xdr:cNvPr id="3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36</xdr:row>
      <xdr:rowOff>0</xdr:rowOff>
    </xdr:from>
    <xdr:ext cx="304800" cy="304800"/>
    <xdr:sp macro="" textlink="">
      <xdr:nvSpPr>
        <xdr:cNvPr id="3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36</xdr:row>
      <xdr:rowOff>0</xdr:rowOff>
    </xdr:from>
    <xdr:ext cx="304800" cy="304800"/>
    <xdr:sp macro="" textlink="">
      <xdr:nvSpPr>
        <xdr:cNvPr id="3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3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86</xdr:row>
      <xdr:rowOff>0</xdr:rowOff>
    </xdr:from>
    <xdr:ext cx="304800" cy="304800"/>
    <xdr:sp macro="" textlink="">
      <xdr:nvSpPr>
        <xdr:cNvPr id="3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3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3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80</xdr:row>
      <xdr:rowOff>0</xdr:rowOff>
    </xdr:from>
    <xdr:ext cx="304800" cy="304800"/>
    <xdr:sp macro="" textlink="">
      <xdr:nvSpPr>
        <xdr:cNvPr id="3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80</xdr:row>
      <xdr:rowOff>0</xdr:rowOff>
    </xdr:from>
    <xdr:ext cx="304800" cy="304800"/>
    <xdr:sp macro="" textlink="">
      <xdr:nvSpPr>
        <xdr:cNvPr id="3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3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3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3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3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3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3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84</xdr:row>
      <xdr:rowOff>0</xdr:rowOff>
    </xdr:from>
    <xdr:ext cx="304800" cy="304800"/>
    <xdr:sp macro="" textlink="">
      <xdr:nvSpPr>
        <xdr:cNvPr id="3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3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xdr:row>
      <xdr:rowOff>0</xdr:rowOff>
    </xdr:from>
    <xdr:ext cx="304800" cy="304800"/>
    <xdr:sp macro="" textlink="">
      <xdr:nvSpPr>
        <xdr:cNvPr id="3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xdr:row>
      <xdr:rowOff>0</xdr:rowOff>
    </xdr:from>
    <xdr:ext cx="304800" cy="304800"/>
    <xdr:sp macro="" textlink="">
      <xdr:nvSpPr>
        <xdr:cNvPr id="3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25</xdr:row>
      <xdr:rowOff>0</xdr:rowOff>
    </xdr:from>
    <xdr:ext cx="304800" cy="304800"/>
    <xdr:sp macro="" textlink="">
      <xdr:nvSpPr>
        <xdr:cNvPr id="3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85</xdr:row>
      <xdr:rowOff>0</xdr:rowOff>
    </xdr:from>
    <xdr:ext cx="304800" cy="304800"/>
    <xdr:sp macro="" textlink="">
      <xdr:nvSpPr>
        <xdr:cNvPr id="3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82</xdr:row>
      <xdr:rowOff>0</xdr:rowOff>
    </xdr:from>
    <xdr:ext cx="304800" cy="304800"/>
    <xdr:sp macro="" textlink="">
      <xdr:nvSpPr>
        <xdr:cNvPr id="3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81</xdr:row>
      <xdr:rowOff>0</xdr:rowOff>
    </xdr:from>
    <xdr:ext cx="304800" cy="304800"/>
    <xdr:sp macro="" textlink="">
      <xdr:nvSpPr>
        <xdr:cNvPr id="3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86</xdr:row>
      <xdr:rowOff>0</xdr:rowOff>
    </xdr:from>
    <xdr:ext cx="304800" cy="304800"/>
    <xdr:sp macro="" textlink="">
      <xdr:nvSpPr>
        <xdr:cNvPr id="3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24</xdr:row>
      <xdr:rowOff>0</xdr:rowOff>
    </xdr:from>
    <xdr:ext cx="304800" cy="304800"/>
    <xdr:sp macro="" textlink="">
      <xdr:nvSpPr>
        <xdr:cNvPr id="3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3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28</xdr:row>
      <xdr:rowOff>0</xdr:rowOff>
    </xdr:from>
    <xdr:ext cx="304800" cy="304800"/>
    <xdr:sp macro="" textlink="">
      <xdr:nvSpPr>
        <xdr:cNvPr id="3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16</xdr:row>
      <xdr:rowOff>0</xdr:rowOff>
    </xdr:from>
    <xdr:ext cx="304800" cy="304800"/>
    <xdr:sp macro="" textlink="">
      <xdr:nvSpPr>
        <xdr:cNvPr id="3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3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3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31</xdr:row>
      <xdr:rowOff>0</xdr:rowOff>
    </xdr:from>
    <xdr:ext cx="304800" cy="304800"/>
    <xdr:sp macro="" textlink="">
      <xdr:nvSpPr>
        <xdr:cNvPr id="3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3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35</xdr:row>
      <xdr:rowOff>0</xdr:rowOff>
    </xdr:from>
    <xdr:ext cx="304800" cy="304800"/>
    <xdr:sp macro="" textlink="">
      <xdr:nvSpPr>
        <xdr:cNvPr id="3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36</xdr:row>
      <xdr:rowOff>0</xdr:rowOff>
    </xdr:from>
    <xdr:ext cx="304800" cy="304800"/>
    <xdr:sp macro="" textlink="">
      <xdr:nvSpPr>
        <xdr:cNvPr id="3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3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47</xdr:row>
      <xdr:rowOff>0</xdr:rowOff>
    </xdr:from>
    <xdr:ext cx="304800" cy="304800"/>
    <xdr:sp macro="" textlink="">
      <xdr:nvSpPr>
        <xdr:cNvPr id="3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36</xdr:row>
      <xdr:rowOff>0</xdr:rowOff>
    </xdr:from>
    <xdr:ext cx="304800" cy="304800"/>
    <xdr:sp macro="" textlink="">
      <xdr:nvSpPr>
        <xdr:cNvPr id="3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11</xdr:row>
      <xdr:rowOff>0</xdr:rowOff>
    </xdr:from>
    <xdr:ext cx="304800" cy="304800"/>
    <xdr:sp macro="" textlink="">
      <xdr:nvSpPr>
        <xdr:cNvPr id="3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3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3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3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3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3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36</xdr:row>
      <xdr:rowOff>0</xdr:rowOff>
    </xdr:from>
    <xdr:ext cx="304800" cy="304800"/>
    <xdr:sp macro="" textlink="">
      <xdr:nvSpPr>
        <xdr:cNvPr id="3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3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3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20</xdr:row>
      <xdr:rowOff>0</xdr:rowOff>
    </xdr:from>
    <xdr:ext cx="304800" cy="304800"/>
    <xdr:sp macro="" textlink="">
      <xdr:nvSpPr>
        <xdr:cNvPr id="3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3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80</xdr:row>
      <xdr:rowOff>0</xdr:rowOff>
    </xdr:from>
    <xdr:ext cx="304800" cy="304800"/>
    <xdr:sp macro="" textlink="">
      <xdr:nvSpPr>
        <xdr:cNvPr id="3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80</xdr:row>
      <xdr:rowOff>0</xdr:rowOff>
    </xdr:from>
    <xdr:ext cx="304800" cy="304800"/>
    <xdr:sp macro="" textlink="">
      <xdr:nvSpPr>
        <xdr:cNvPr id="3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83</xdr:row>
      <xdr:rowOff>0</xdr:rowOff>
    </xdr:from>
    <xdr:ext cx="304800" cy="304800"/>
    <xdr:sp macro="" textlink="">
      <xdr:nvSpPr>
        <xdr:cNvPr id="3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83</xdr:row>
      <xdr:rowOff>0</xdr:rowOff>
    </xdr:from>
    <xdr:ext cx="304800" cy="304800"/>
    <xdr:sp macro="" textlink="">
      <xdr:nvSpPr>
        <xdr:cNvPr id="3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3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F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3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0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3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1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3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2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3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3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3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4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3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5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3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6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3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7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3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8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3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9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3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A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3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B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3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C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3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D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3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E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3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F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10</xdr:row>
      <xdr:rowOff>0</xdr:rowOff>
    </xdr:from>
    <xdr:ext cx="304800" cy="304800"/>
    <xdr:sp macro="" textlink="">
      <xdr:nvSpPr>
        <xdr:cNvPr id="4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0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10</xdr:row>
      <xdr:rowOff>0</xdr:rowOff>
    </xdr:from>
    <xdr:ext cx="304800" cy="304800"/>
    <xdr:sp macro="" textlink="">
      <xdr:nvSpPr>
        <xdr:cNvPr id="4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1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10</xdr:row>
      <xdr:rowOff>0</xdr:rowOff>
    </xdr:from>
    <xdr:ext cx="304800" cy="304800"/>
    <xdr:sp macro="" textlink="">
      <xdr:nvSpPr>
        <xdr:cNvPr id="4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2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10</xdr:row>
      <xdr:rowOff>0</xdr:rowOff>
    </xdr:from>
    <xdr:ext cx="304800" cy="304800"/>
    <xdr:sp macro="" textlink="">
      <xdr:nvSpPr>
        <xdr:cNvPr id="4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3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10</xdr:row>
      <xdr:rowOff>0</xdr:rowOff>
    </xdr:from>
    <xdr:ext cx="304800" cy="304800"/>
    <xdr:sp macro="" textlink="">
      <xdr:nvSpPr>
        <xdr:cNvPr id="4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4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10</xdr:row>
      <xdr:rowOff>0</xdr:rowOff>
    </xdr:from>
    <xdr:ext cx="304800" cy="304800"/>
    <xdr:sp macro="" textlink="">
      <xdr:nvSpPr>
        <xdr:cNvPr id="4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5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10</xdr:row>
      <xdr:rowOff>0</xdr:rowOff>
    </xdr:from>
    <xdr:ext cx="304800" cy="304800"/>
    <xdr:sp macro="" textlink="">
      <xdr:nvSpPr>
        <xdr:cNvPr id="4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6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10</xdr:row>
      <xdr:rowOff>0</xdr:rowOff>
    </xdr:from>
    <xdr:ext cx="304800" cy="304800"/>
    <xdr:sp macro="" textlink="">
      <xdr:nvSpPr>
        <xdr:cNvPr id="4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7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10</xdr:row>
      <xdr:rowOff>0</xdr:rowOff>
    </xdr:from>
    <xdr:ext cx="304800" cy="304800"/>
    <xdr:sp macro="" textlink="">
      <xdr:nvSpPr>
        <xdr:cNvPr id="4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8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10</xdr:row>
      <xdr:rowOff>0</xdr:rowOff>
    </xdr:from>
    <xdr:ext cx="304800" cy="304800"/>
    <xdr:sp macro="" textlink="">
      <xdr:nvSpPr>
        <xdr:cNvPr id="4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9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10</xdr:row>
      <xdr:rowOff>0</xdr:rowOff>
    </xdr:from>
    <xdr:ext cx="304800" cy="304800"/>
    <xdr:sp macro="" textlink="">
      <xdr:nvSpPr>
        <xdr:cNvPr id="4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A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10</xdr:row>
      <xdr:rowOff>0</xdr:rowOff>
    </xdr:from>
    <xdr:ext cx="304800" cy="304800"/>
    <xdr:sp macro="" textlink="">
      <xdr:nvSpPr>
        <xdr:cNvPr id="4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B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10</xdr:row>
      <xdr:rowOff>0</xdr:rowOff>
    </xdr:from>
    <xdr:ext cx="304800" cy="304800"/>
    <xdr:sp macro="" textlink="">
      <xdr:nvSpPr>
        <xdr:cNvPr id="4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C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10</xdr:row>
      <xdr:rowOff>0</xdr:rowOff>
    </xdr:from>
    <xdr:ext cx="304800" cy="304800"/>
    <xdr:sp macro="" textlink="">
      <xdr:nvSpPr>
        <xdr:cNvPr id="4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D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10</xdr:row>
      <xdr:rowOff>0</xdr:rowOff>
    </xdr:from>
    <xdr:ext cx="304800" cy="304800"/>
    <xdr:sp macro="" textlink="">
      <xdr:nvSpPr>
        <xdr:cNvPr id="4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E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10</xdr:row>
      <xdr:rowOff>0</xdr:rowOff>
    </xdr:from>
    <xdr:ext cx="304800" cy="304800"/>
    <xdr:sp macro="" textlink="">
      <xdr:nvSpPr>
        <xdr:cNvPr id="4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F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1131094</xdr:rowOff>
    </xdr:from>
    <xdr:ext cx="304800" cy="304800"/>
    <xdr:sp macro="" textlink="">
      <xdr:nvSpPr>
        <xdr:cNvPr id="4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0010000}"/>
            </a:ext>
          </a:extLst>
        </xdr:cNvPr>
        <xdr:cNvSpPr>
          <a:spLocks noChangeAspect="1" noChangeArrowheads="1"/>
        </xdr:cNvSpPr>
      </xdr:nvSpPr>
      <xdr:spPr bwMode="auto">
        <a:xfrm>
          <a:off x="14347031" y="507206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90</xdr:row>
      <xdr:rowOff>0</xdr:rowOff>
    </xdr:from>
    <xdr:ext cx="304800" cy="304800"/>
    <xdr:sp macro="" textlink="">
      <xdr:nvSpPr>
        <xdr:cNvPr id="4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1010000}"/>
            </a:ext>
            <a:ext uri="{147F2762-F138-4A5C-976F-8EAC2B608ADB}">
              <a16:predDERef xmlns:a16="http://schemas.microsoft.com/office/drawing/2014/main" pred="{8B5E25CD-98BA-4C16-9B2B-018711E8616A}"/>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90</xdr:row>
      <xdr:rowOff>0</xdr:rowOff>
    </xdr:from>
    <xdr:ext cx="304800" cy="304800"/>
    <xdr:sp macro="" textlink="">
      <xdr:nvSpPr>
        <xdr:cNvPr id="4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2010000}"/>
            </a:ext>
            <a:ext uri="{147F2762-F138-4A5C-976F-8EAC2B608ADB}">
              <a16:predDERef xmlns:a16="http://schemas.microsoft.com/office/drawing/2014/main" pred="{74C66898-31DD-4337-83AE-5F469A7FF7E4}"/>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90</xdr:row>
      <xdr:rowOff>0</xdr:rowOff>
    </xdr:from>
    <xdr:ext cx="304800" cy="304800"/>
    <xdr:sp macro="" textlink="">
      <xdr:nvSpPr>
        <xdr:cNvPr id="4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3010000}"/>
            </a:ext>
            <a:ext uri="{147F2762-F138-4A5C-976F-8EAC2B608ADB}">
              <a16:predDERef xmlns:a16="http://schemas.microsoft.com/office/drawing/2014/main" pred="{54A87838-0C13-4A38-84FC-C33FC8A7D723}"/>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4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4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4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5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4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6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4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7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4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8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4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9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4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A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4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B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4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C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4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D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4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E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4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F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4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0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4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1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4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2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4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3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4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4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4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5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4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6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4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7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4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8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4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9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4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A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4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B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4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C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4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D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4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E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4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F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4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0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4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1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4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2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4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3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4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E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4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F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4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0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4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1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4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2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4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3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4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4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4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5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4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6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4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7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4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8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4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9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4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A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4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B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4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C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4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D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4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E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4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F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4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0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4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1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4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2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4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3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5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4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5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5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5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6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5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7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5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8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5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9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5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A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5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B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5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C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5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D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5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E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5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F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5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0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5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1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5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2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5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3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5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4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5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5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5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6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5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7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5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8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5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9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5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A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5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B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5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C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5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D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5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E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5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F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5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0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5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1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5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2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5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3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5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4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5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5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5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6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5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7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5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9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5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A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5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B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5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C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5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D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5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E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5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F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5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0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5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1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5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2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5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3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5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8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5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4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5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5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5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6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5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7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5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8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5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9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5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A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5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B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114300</xdr:colOff>
      <xdr:row>0</xdr:row>
      <xdr:rowOff>38100</xdr:rowOff>
    </xdr:from>
    <xdr:to>
      <xdr:col>3</xdr:col>
      <xdr:colOff>1354791</xdr:colOff>
      <xdr:row>0</xdr:row>
      <xdr:rowOff>1247775</xdr:rowOff>
    </xdr:to>
    <xdr:pic>
      <xdr:nvPicPr>
        <xdr:cNvPr id="2" name="Imagen 1">
          <a:extLst>
            <a:ext uri="{FF2B5EF4-FFF2-40B4-BE49-F238E27FC236}">
              <a16:creationId xmlns:a16="http://schemas.microsoft.com/office/drawing/2014/main" id="{D04C5287-3417-4EE0-BB7A-7F91324EF1E4}"/>
            </a:ext>
            <a:ext uri="{147F2762-F138-4A5C-976F-8EAC2B608ADB}">
              <a16:predDERef xmlns:a16="http://schemas.microsoft.com/office/drawing/2014/main" pred="{00000000-0008-0000-0100-00002B02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76650" y="38100"/>
          <a:ext cx="1238250" cy="1209675"/>
        </a:xfrm>
        <a:prstGeom prst="rect">
          <a:avLst/>
        </a:prstGeom>
      </xdr:spPr>
    </xdr:pic>
    <xdr:clientData/>
  </xdr:twoCellAnchor>
  <xdr:oneCellAnchor>
    <xdr:from>
      <xdr:col>14</xdr:col>
      <xdr:colOff>0</xdr:colOff>
      <xdr:row>91</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1D5EF54-6298-4355-A9E2-B95C638115E7}"/>
            </a:ext>
            <a:ext uri="{147F2762-F138-4A5C-976F-8EAC2B608ADB}">
              <a16:predDERef xmlns:a16="http://schemas.microsoft.com/office/drawing/2014/main" pred="{D04C5287-3417-4EE0-BB7A-7F91324EF1E4}"/>
            </a:ext>
          </a:extLst>
        </xdr:cNvPr>
        <xdr:cNvSpPr>
          <a:spLocks noChangeAspect="1" noChangeArrowheads="1"/>
        </xdr:cNvSpPr>
      </xdr:nvSpPr>
      <xdr:spPr bwMode="auto">
        <a:xfrm>
          <a:off x="16649700" y="66970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91</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8937B75-1E66-4CF7-B548-E65CF8A9624C}"/>
            </a:ext>
            <a:ext uri="{147F2762-F138-4A5C-976F-8EAC2B608ADB}">
              <a16:predDERef xmlns:a16="http://schemas.microsoft.com/office/drawing/2014/main" pred="{A1D5EF54-6298-4355-A9E2-B95C638115E7}"/>
            </a:ext>
          </a:extLst>
        </xdr:cNvPr>
        <xdr:cNvSpPr>
          <a:spLocks noChangeAspect="1" noChangeArrowheads="1"/>
        </xdr:cNvSpPr>
      </xdr:nvSpPr>
      <xdr:spPr bwMode="auto">
        <a:xfrm>
          <a:off x="16649700" y="66970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91</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3B1459B-8B62-4B90-85B5-60E2E5CD7527}"/>
            </a:ext>
            <a:ext uri="{147F2762-F138-4A5C-976F-8EAC2B608ADB}">
              <a16:predDERef xmlns:a16="http://schemas.microsoft.com/office/drawing/2014/main" pred="{78937B75-1E66-4CF7-B548-E65CF8A9624C}"/>
            </a:ext>
          </a:extLst>
        </xdr:cNvPr>
        <xdr:cNvSpPr>
          <a:spLocks noChangeAspect="1" noChangeArrowheads="1"/>
        </xdr:cNvSpPr>
      </xdr:nvSpPr>
      <xdr:spPr bwMode="auto">
        <a:xfrm>
          <a:off x="16649700" y="66970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92</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5850B60-6D3E-4D77-99C2-9E33E27C8C5B}"/>
            </a:ext>
            <a:ext uri="{147F2762-F138-4A5C-976F-8EAC2B608ADB}">
              <a16:predDERef xmlns:a16="http://schemas.microsoft.com/office/drawing/2014/main" pred="{33B1459B-8B62-4B90-85B5-60E2E5CD7527}"/>
            </a:ext>
          </a:extLst>
        </xdr:cNvPr>
        <xdr:cNvSpPr>
          <a:spLocks noChangeAspect="1" noChangeArrowheads="1"/>
        </xdr:cNvSpPr>
      </xdr:nvSpPr>
      <xdr:spPr bwMode="auto">
        <a:xfrm>
          <a:off x="16649700" y="67922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92</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B5C97BD-02F7-4DC8-8B6B-6810B77CF570}"/>
            </a:ext>
            <a:ext uri="{147F2762-F138-4A5C-976F-8EAC2B608ADB}">
              <a16:predDERef xmlns:a16="http://schemas.microsoft.com/office/drawing/2014/main" pred="{65850B60-6D3E-4D77-99C2-9E33E27C8C5B}"/>
            </a:ext>
          </a:extLst>
        </xdr:cNvPr>
        <xdr:cNvSpPr>
          <a:spLocks noChangeAspect="1" noChangeArrowheads="1"/>
        </xdr:cNvSpPr>
      </xdr:nvSpPr>
      <xdr:spPr bwMode="auto">
        <a:xfrm>
          <a:off x="16649700" y="67922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92</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3F94B6B-D8E9-4BE4-B8A9-3B22B5CFBBB1}"/>
            </a:ext>
            <a:ext uri="{147F2762-F138-4A5C-976F-8EAC2B608ADB}">
              <a16:predDERef xmlns:a16="http://schemas.microsoft.com/office/drawing/2014/main" pred="{AB5C97BD-02F7-4DC8-8B6B-6810B77CF570}"/>
            </a:ext>
          </a:extLst>
        </xdr:cNvPr>
        <xdr:cNvSpPr>
          <a:spLocks noChangeAspect="1" noChangeArrowheads="1"/>
        </xdr:cNvSpPr>
      </xdr:nvSpPr>
      <xdr:spPr bwMode="auto">
        <a:xfrm>
          <a:off x="16649700" y="67922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90</xdr:row>
      <xdr:rowOff>0</xdr:rowOff>
    </xdr:from>
    <xdr:ext cx="304800" cy="304800"/>
    <xdr:sp macro="" textlink="">
      <xdr:nvSpPr>
        <xdr:cNvPr id="5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F284539-FC5F-4781-8DD8-6839A12A2A1D}"/>
            </a:ext>
            <a:ext uri="{147F2762-F138-4A5C-976F-8EAC2B608ADB}">
              <a16:predDERef xmlns:a16="http://schemas.microsoft.com/office/drawing/2014/main" pred="{63F94B6B-D8E9-4BE4-B8A9-3B22B5CFBBB1}"/>
            </a:ext>
          </a:extLst>
        </xdr:cNvPr>
        <xdr:cNvSpPr>
          <a:spLocks noChangeAspect="1" noChangeArrowheads="1"/>
        </xdr:cNvSpPr>
      </xdr:nvSpPr>
      <xdr:spPr bwMode="auto">
        <a:xfrm>
          <a:off x="16649700" y="2029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90</xdr:row>
      <xdr:rowOff>0</xdr:rowOff>
    </xdr:from>
    <xdr:ext cx="304800" cy="304800"/>
    <xdr:sp macro="" textlink="">
      <xdr:nvSpPr>
        <xdr:cNvPr id="5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7620BA7-3B52-4AF2-BD2A-0537E4A8ED7C}"/>
            </a:ext>
            <a:ext uri="{147F2762-F138-4A5C-976F-8EAC2B608ADB}">
              <a16:predDERef xmlns:a16="http://schemas.microsoft.com/office/drawing/2014/main" pred="{9F284539-FC5F-4781-8DD8-6839A12A2A1D}"/>
            </a:ext>
          </a:extLst>
        </xdr:cNvPr>
        <xdr:cNvSpPr>
          <a:spLocks noChangeAspect="1" noChangeArrowheads="1"/>
        </xdr:cNvSpPr>
      </xdr:nvSpPr>
      <xdr:spPr bwMode="auto">
        <a:xfrm>
          <a:off x="16649700" y="2029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90</xdr:row>
      <xdr:rowOff>0</xdr:rowOff>
    </xdr:from>
    <xdr:ext cx="304800" cy="304800"/>
    <xdr:sp macro="" textlink="">
      <xdr:nvSpPr>
        <xdr:cNvPr id="5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3399EE3-6A2D-4353-8C0C-DB34B8709845}"/>
            </a:ext>
            <a:ext uri="{147F2762-F138-4A5C-976F-8EAC2B608ADB}">
              <a16:predDERef xmlns:a16="http://schemas.microsoft.com/office/drawing/2014/main" pred="{87620BA7-3B52-4AF2-BD2A-0537E4A8ED7C}"/>
            </a:ext>
          </a:extLst>
        </xdr:cNvPr>
        <xdr:cNvSpPr>
          <a:spLocks noChangeAspect="1" noChangeArrowheads="1"/>
        </xdr:cNvSpPr>
      </xdr:nvSpPr>
      <xdr:spPr bwMode="auto">
        <a:xfrm>
          <a:off x="16649700" y="2029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93</xdr:row>
      <xdr:rowOff>0</xdr:rowOff>
    </xdr:from>
    <xdr:ext cx="304800" cy="304800"/>
    <xdr:sp macro="" textlink="">
      <xdr:nvSpPr>
        <xdr:cNvPr id="5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4DBE37F-AD2E-4F3F-B8BF-B60CE4FE734B}"/>
            </a:ext>
            <a:ext uri="{147F2762-F138-4A5C-976F-8EAC2B608ADB}">
              <a16:predDERef xmlns:a16="http://schemas.microsoft.com/office/drawing/2014/main" pred="{33399EE3-6A2D-4353-8C0C-DB34B8709845}"/>
            </a:ext>
          </a:extLst>
        </xdr:cNvPr>
        <xdr:cNvSpPr>
          <a:spLocks noChangeAspect="1" noChangeArrowheads="1"/>
        </xdr:cNvSpPr>
      </xdr:nvSpPr>
      <xdr:spPr bwMode="auto">
        <a:xfrm>
          <a:off x="16649700" y="2029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93</xdr:row>
      <xdr:rowOff>0</xdr:rowOff>
    </xdr:from>
    <xdr:ext cx="304800" cy="304800"/>
    <xdr:sp macro="" textlink="">
      <xdr:nvSpPr>
        <xdr:cNvPr id="5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FF010F6-3790-41D5-8938-E4763919D199}"/>
            </a:ext>
            <a:ext uri="{147F2762-F138-4A5C-976F-8EAC2B608ADB}">
              <a16:predDERef xmlns:a16="http://schemas.microsoft.com/office/drawing/2014/main" pred="{54DBE37F-AD2E-4F3F-B8BF-B60CE4FE734B}"/>
            </a:ext>
          </a:extLst>
        </xdr:cNvPr>
        <xdr:cNvSpPr>
          <a:spLocks noChangeAspect="1" noChangeArrowheads="1"/>
        </xdr:cNvSpPr>
      </xdr:nvSpPr>
      <xdr:spPr bwMode="auto">
        <a:xfrm>
          <a:off x="16649700" y="2029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93</xdr:row>
      <xdr:rowOff>0</xdr:rowOff>
    </xdr:from>
    <xdr:ext cx="304800" cy="304800"/>
    <xdr:sp macro="" textlink="">
      <xdr:nvSpPr>
        <xdr:cNvPr id="5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FF611DE-D4D7-42E5-961A-75D178A83184}"/>
            </a:ext>
            <a:ext uri="{147F2762-F138-4A5C-976F-8EAC2B608ADB}">
              <a16:predDERef xmlns:a16="http://schemas.microsoft.com/office/drawing/2014/main" pred="{0FF010F6-3790-41D5-8938-E4763919D199}"/>
            </a:ext>
          </a:extLst>
        </xdr:cNvPr>
        <xdr:cNvSpPr>
          <a:spLocks noChangeAspect="1" noChangeArrowheads="1"/>
        </xdr:cNvSpPr>
      </xdr:nvSpPr>
      <xdr:spPr bwMode="auto">
        <a:xfrm>
          <a:off x="16649700" y="2029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94</xdr:row>
      <xdr:rowOff>0</xdr:rowOff>
    </xdr:from>
    <xdr:ext cx="304800" cy="304800"/>
    <xdr:sp macro="" textlink="">
      <xdr:nvSpPr>
        <xdr:cNvPr id="5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3259508-59F6-483F-B5ED-781FD4C6330C}"/>
            </a:ext>
            <a:ext uri="{147F2762-F138-4A5C-976F-8EAC2B608ADB}">
              <a16:predDERef xmlns:a16="http://schemas.microsoft.com/office/drawing/2014/main" pred="{3FF611DE-D4D7-42E5-961A-75D178A83184}"/>
            </a:ext>
          </a:extLst>
        </xdr:cNvPr>
        <xdr:cNvSpPr>
          <a:spLocks noChangeAspect="1" noChangeArrowheads="1"/>
        </xdr:cNvSpPr>
      </xdr:nvSpPr>
      <xdr:spPr bwMode="auto">
        <a:xfrm>
          <a:off x="16649700" y="2131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94</xdr:row>
      <xdr:rowOff>0</xdr:rowOff>
    </xdr:from>
    <xdr:ext cx="304800" cy="304800"/>
    <xdr:sp macro="" textlink="">
      <xdr:nvSpPr>
        <xdr:cNvPr id="5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CD08D28-F305-4B61-8C32-1AD66FD57C5F}"/>
            </a:ext>
            <a:ext uri="{147F2762-F138-4A5C-976F-8EAC2B608ADB}">
              <a16:predDERef xmlns:a16="http://schemas.microsoft.com/office/drawing/2014/main" pred="{E3259508-59F6-483F-B5ED-781FD4C6330C}"/>
            </a:ext>
          </a:extLst>
        </xdr:cNvPr>
        <xdr:cNvSpPr>
          <a:spLocks noChangeAspect="1" noChangeArrowheads="1"/>
        </xdr:cNvSpPr>
      </xdr:nvSpPr>
      <xdr:spPr bwMode="auto">
        <a:xfrm>
          <a:off x="16649700" y="2131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94</xdr:row>
      <xdr:rowOff>0</xdr:rowOff>
    </xdr:from>
    <xdr:ext cx="304800" cy="304800"/>
    <xdr:sp macro="" textlink="">
      <xdr:nvSpPr>
        <xdr:cNvPr id="5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6FBB5F4-3884-4E10-BE1C-D4F1DCF5EC51}"/>
            </a:ext>
            <a:ext uri="{147F2762-F138-4A5C-976F-8EAC2B608ADB}">
              <a16:predDERef xmlns:a16="http://schemas.microsoft.com/office/drawing/2014/main" pred="{1CD08D28-F305-4B61-8C32-1AD66FD57C5F}"/>
            </a:ext>
          </a:extLst>
        </xdr:cNvPr>
        <xdr:cNvSpPr>
          <a:spLocks noChangeAspect="1" noChangeArrowheads="1"/>
        </xdr:cNvSpPr>
      </xdr:nvSpPr>
      <xdr:spPr bwMode="auto">
        <a:xfrm>
          <a:off x="16649700" y="2131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92</xdr:row>
      <xdr:rowOff>0</xdr:rowOff>
    </xdr:from>
    <xdr:ext cx="304800" cy="304800"/>
    <xdr:sp macro="" textlink="">
      <xdr:nvSpPr>
        <xdr:cNvPr id="5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6075316-7B8D-49B5-9522-DC06DE38B928}"/>
            </a:ext>
            <a:ext uri="{147F2762-F138-4A5C-976F-8EAC2B608ADB}">
              <a16:predDERef xmlns:a16="http://schemas.microsoft.com/office/drawing/2014/main" pred="{56FBB5F4-3884-4E10-BE1C-D4F1DCF5EC51}"/>
            </a:ext>
          </a:extLst>
        </xdr:cNvPr>
        <xdr:cNvSpPr>
          <a:spLocks noChangeAspect="1" noChangeArrowheads="1"/>
        </xdr:cNvSpPr>
      </xdr:nvSpPr>
      <xdr:spPr bwMode="auto">
        <a:xfrm>
          <a:off x="16649700" y="2131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92</xdr:row>
      <xdr:rowOff>0</xdr:rowOff>
    </xdr:from>
    <xdr:ext cx="304800" cy="304800"/>
    <xdr:sp macro="" textlink="">
      <xdr:nvSpPr>
        <xdr:cNvPr id="5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E9ED01C-640B-4F8F-AF3B-53E6116C40FB}"/>
            </a:ext>
            <a:ext uri="{147F2762-F138-4A5C-976F-8EAC2B608ADB}">
              <a16:predDERef xmlns:a16="http://schemas.microsoft.com/office/drawing/2014/main" pred="{56075316-7B8D-49B5-9522-DC06DE38B928}"/>
            </a:ext>
          </a:extLst>
        </xdr:cNvPr>
        <xdr:cNvSpPr>
          <a:spLocks noChangeAspect="1" noChangeArrowheads="1"/>
        </xdr:cNvSpPr>
      </xdr:nvSpPr>
      <xdr:spPr bwMode="auto">
        <a:xfrm>
          <a:off x="16649700" y="2131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92</xdr:row>
      <xdr:rowOff>0</xdr:rowOff>
    </xdr:from>
    <xdr:ext cx="304800" cy="304800"/>
    <xdr:sp macro="" textlink="">
      <xdr:nvSpPr>
        <xdr:cNvPr id="5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49672BA-CABD-47CA-AFDE-FAF7A4B5922E}"/>
            </a:ext>
            <a:ext uri="{147F2762-F138-4A5C-976F-8EAC2B608ADB}">
              <a16:predDERef xmlns:a16="http://schemas.microsoft.com/office/drawing/2014/main" pred="{2E9ED01C-640B-4F8F-AF3B-53E6116C40FB}"/>
            </a:ext>
          </a:extLst>
        </xdr:cNvPr>
        <xdr:cNvSpPr>
          <a:spLocks noChangeAspect="1" noChangeArrowheads="1"/>
        </xdr:cNvSpPr>
      </xdr:nvSpPr>
      <xdr:spPr bwMode="auto">
        <a:xfrm>
          <a:off x="16649700" y="2131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93</xdr:row>
      <xdr:rowOff>0</xdr:rowOff>
    </xdr:from>
    <xdr:ext cx="304800" cy="304800"/>
    <xdr:sp macro="" textlink="">
      <xdr:nvSpPr>
        <xdr:cNvPr id="5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E69738E-2EE5-4C18-B462-B3DFCD6E74DE}"/>
            </a:ext>
            <a:ext uri="{147F2762-F138-4A5C-976F-8EAC2B608ADB}">
              <a16:predDERef xmlns:a16="http://schemas.microsoft.com/office/drawing/2014/main" pred="{649672BA-CABD-47CA-AFDE-FAF7A4B5922E}"/>
            </a:ext>
          </a:extLst>
        </xdr:cNvPr>
        <xdr:cNvSpPr>
          <a:spLocks noChangeAspect="1" noChangeArrowheads="1"/>
        </xdr:cNvSpPr>
      </xdr:nvSpPr>
      <xdr:spPr bwMode="auto">
        <a:xfrm>
          <a:off x="16649700" y="2131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93</xdr:row>
      <xdr:rowOff>0</xdr:rowOff>
    </xdr:from>
    <xdr:ext cx="304800" cy="304800"/>
    <xdr:sp macro="" textlink="">
      <xdr:nvSpPr>
        <xdr:cNvPr id="5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FB623B3-A92B-4C0C-AA23-0FC15110FD27}"/>
            </a:ext>
            <a:ext uri="{147F2762-F138-4A5C-976F-8EAC2B608ADB}">
              <a16:predDERef xmlns:a16="http://schemas.microsoft.com/office/drawing/2014/main" pred="{FE69738E-2EE5-4C18-B462-B3DFCD6E74DE}"/>
            </a:ext>
          </a:extLst>
        </xdr:cNvPr>
        <xdr:cNvSpPr>
          <a:spLocks noChangeAspect="1" noChangeArrowheads="1"/>
        </xdr:cNvSpPr>
      </xdr:nvSpPr>
      <xdr:spPr bwMode="auto">
        <a:xfrm>
          <a:off x="16649700" y="2131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93</xdr:row>
      <xdr:rowOff>0</xdr:rowOff>
    </xdr:from>
    <xdr:ext cx="304800" cy="304800"/>
    <xdr:sp macro="" textlink="">
      <xdr:nvSpPr>
        <xdr:cNvPr id="5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75F3E6D-3704-4191-9BCD-3725F461058A}"/>
            </a:ext>
            <a:ext uri="{147F2762-F138-4A5C-976F-8EAC2B608ADB}">
              <a16:predDERef xmlns:a16="http://schemas.microsoft.com/office/drawing/2014/main" pred="{5FB623B3-A92B-4C0C-AA23-0FC15110FD27}"/>
            </a:ext>
          </a:extLst>
        </xdr:cNvPr>
        <xdr:cNvSpPr>
          <a:spLocks noChangeAspect="1" noChangeArrowheads="1"/>
        </xdr:cNvSpPr>
      </xdr:nvSpPr>
      <xdr:spPr bwMode="auto">
        <a:xfrm>
          <a:off x="16649700" y="2131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94</xdr:row>
      <xdr:rowOff>0</xdr:rowOff>
    </xdr:from>
    <xdr:ext cx="304800" cy="304800"/>
    <xdr:sp macro="" textlink="">
      <xdr:nvSpPr>
        <xdr:cNvPr id="5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98EB200-BCEB-4FE1-AAC8-732B1A5C112C}"/>
            </a:ext>
            <a:ext uri="{147F2762-F138-4A5C-976F-8EAC2B608ADB}">
              <a16:predDERef xmlns:a16="http://schemas.microsoft.com/office/drawing/2014/main" pred="{C75F3E6D-3704-4191-9BCD-3725F461058A}"/>
            </a:ext>
          </a:extLst>
        </xdr:cNvPr>
        <xdr:cNvSpPr>
          <a:spLocks noChangeAspect="1" noChangeArrowheads="1"/>
        </xdr:cNvSpPr>
      </xdr:nvSpPr>
      <xdr:spPr bwMode="auto">
        <a:xfrm>
          <a:off x="16649700" y="2131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94</xdr:row>
      <xdr:rowOff>0</xdr:rowOff>
    </xdr:from>
    <xdr:ext cx="304800" cy="304800"/>
    <xdr:sp macro="" textlink="">
      <xdr:nvSpPr>
        <xdr:cNvPr id="5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0A1B738-D3EE-43F4-8B49-DB384E4F8B09}"/>
            </a:ext>
            <a:ext uri="{147F2762-F138-4A5C-976F-8EAC2B608ADB}">
              <a16:predDERef xmlns:a16="http://schemas.microsoft.com/office/drawing/2014/main" pred="{598EB200-BCEB-4FE1-AAC8-732B1A5C112C}"/>
            </a:ext>
          </a:extLst>
        </xdr:cNvPr>
        <xdr:cNvSpPr>
          <a:spLocks noChangeAspect="1" noChangeArrowheads="1"/>
        </xdr:cNvSpPr>
      </xdr:nvSpPr>
      <xdr:spPr bwMode="auto">
        <a:xfrm>
          <a:off x="16649700" y="2131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94</xdr:row>
      <xdr:rowOff>0</xdr:rowOff>
    </xdr:from>
    <xdr:ext cx="304800" cy="304800"/>
    <xdr:sp macro="" textlink="">
      <xdr:nvSpPr>
        <xdr:cNvPr id="5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9428AB4-CAC4-4480-8048-530D8C66FA5A}"/>
            </a:ext>
            <a:ext uri="{147F2762-F138-4A5C-976F-8EAC2B608ADB}">
              <a16:predDERef xmlns:a16="http://schemas.microsoft.com/office/drawing/2014/main" pred="{D0A1B738-D3EE-43F4-8B49-DB384E4F8B09}"/>
            </a:ext>
          </a:extLst>
        </xdr:cNvPr>
        <xdr:cNvSpPr>
          <a:spLocks noChangeAspect="1" noChangeArrowheads="1"/>
        </xdr:cNvSpPr>
      </xdr:nvSpPr>
      <xdr:spPr bwMode="auto">
        <a:xfrm>
          <a:off x="16649700" y="2131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11</xdr:row>
      <xdr:rowOff>0</xdr:rowOff>
    </xdr:from>
    <xdr:to>
      <xdr:col>16</xdr:col>
      <xdr:colOff>304800</xdr:colOff>
      <xdr:row>37</xdr:row>
      <xdr:rowOff>304800</xdr:rowOff>
    </xdr:to>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12</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3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B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C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D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F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0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1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3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8000000}"/>
            </a:ext>
          </a:extLst>
        </xdr:cNvPr>
        <xdr:cNvSpPr>
          <a:spLocks noChangeAspect="1" noChangeArrowheads="1"/>
        </xdr:cNvSpPr>
      </xdr:nvSpPr>
      <xdr:spPr bwMode="auto">
        <a:xfrm>
          <a:off x="21069300"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9000000}"/>
            </a:ext>
          </a:extLst>
        </xdr:cNvPr>
        <xdr:cNvSpPr>
          <a:spLocks noChangeAspect="1" noChangeArrowheads="1"/>
        </xdr:cNvSpPr>
      </xdr:nvSpPr>
      <xdr:spPr bwMode="auto">
        <a:xfrm>
          <a:off x="2106930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A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B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C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82</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D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80</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E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81</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F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0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266700</xdr:colOff>
      <xdr:row>1</xdr:row>
      <xdr:rowOff>95250</xdr:rowOff>
    </xdr:from>
    <xdr:to>
      <xdr:col>1</xdr:col>
      <xdr:colOff>1048310</xdr:colOff>
      <xdr:row>5</xdr:row>
      <xdr:rowOff>17329</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 y="266700"/>
          <a:ext cx="781610" cy="826954"/>
        </a:xfrm>
        <a:prstGeom prst="rect">
          <a:avLst/>
        </a:prstGeom>
      </xdr:spPr>
    </xdr:pic>
    <xdr:clientData/>
  </xdr:twoCellAnchor>
  <xdr:twoCellAnchor editAs="oneCell">
    <xdr:from>
      <xdr:col>12</xdr:col>
      <xdr:colOff>94384</xdr:colOff>
      <xdr:row>100</xdr:row>
      <xdr:rowOff>138033</xdr:rowOff>
    </xdr:from>
    <xdr:to>
      <xdr:col>13</xdr:col>
      <xdr:colOff>561770</xdr:colOff>
      <xdr:row>100</xdr:row>
      <xdr:rowOff>718781</xdr:rowOff>
    </xdr:to>
    <xdr:pic>
      <xdr:nvPicPr>
        <xdr:cNvPr id="34" name="Imagen 33">
          <a:extLst>
            <a:ext uri="{FF2B5EF4-FFF2-40B4-BE49-F238E27FC236}">
              <a16:creationId xmlns:a16="http://schemas.microsoft.com/office/drawing/2014/main" id="{00000000-0008-0000-0900-00002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96534" y="7300833"/>
          <a:ext cx="1524661" cy="580748"/>
        </a:xfrm>
        <a:prstGeom prst="rect">
          <a:avLst/>
        </a:prstGeom>
      </xdr:spPr>
    </xdr:pic>
    <xdr:clientData/>
  </xdr:twoCellAnchor>
  <xdr:twoCellAnchor editAs="oneCell">
    <xdr:from>
      <xdr:col>46</xdr:col>
      <xdr:colOff>554182</xdr:colOff>
      <xdr:row>100</xdr:row>
      <xdr:rowOff>46359</xdr:rowOff>
    </xdr:from>
    <xdr:to>
      <xdr:col>47</xdr:col>
      <xdr:colOff>970397</xdr:colOff>
      <xdr:row>100</xdr:row>
      <xdr:rowOff>623644</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253882" y="7209159"/>
          <a:ext cx="969036" cy="577285"/>
        </a:xfrm>
        <a:prstGeom prst="rect">
          <a:avLst/>
        </a:prstGeom>
      </xdr:spPr>
    </xdr:pic>
    <xdr:clientData/>
  </xdr:twoCellAnchor>
  <xdr:oneCellAnchor>
    <xdr:from>
      <xdr:col>16</xdr:col>
      <xdr:colOff>0</xdr:colOff>
      <xdr:row>10</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B000000}"/>
            </a:ext>
          </a:extLst>
        </xdr:cNvPr>
        <xdr:cNvSpPr>
          <a:spLocks noChangeAspect="1" noChangeArrowheads="1"/>
        </xdr:cNvSpPr>
      </xdr:nvSpPr>
      <xdr:spPr bwMode="auto">
        <a:xfrm>
          <a:off x="21069300" y="601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C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D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F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0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1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2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3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4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5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6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7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8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9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A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B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C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D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E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F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0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1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2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3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4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5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6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7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8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9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A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B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C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D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E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F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50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51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52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5D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5E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5F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0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1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2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3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4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5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6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94</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95</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95</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6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7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8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9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A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B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C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0</xdr:colOff>
      <xdr:row>12</xdr:row>
      <xdr:rowOff>0</xdr:rowOff>
    </xdr:from>
    <xdr:ext cx="304800" cy="304800"/>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1481F1B-9DC6-43BD-B6C3-128786935E0C}"/>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BB3621B-C345-4021-B0ED-CD390A3E9C8C}"/>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E3DC393-3683-4397-B9D1-DC37842AEA25}"/>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90669F8-45AB-49A2-8574-B5E732647D19}"/>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23187E7-B2B8-475F-BEBE-52AE9313FA60}"/>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3D56511-8BAE-40F0-AB14-BE27A900B43E}"/>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A2913C8-EE44-4B78-B999-F4F4E76A32F1}"/>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8184FCF-8B0E-406E-AB80-0389E399F199}"/>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1D91137-127B-4410-A690-50585469B92B}"/>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39</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B14C1FA-6683-44C4-BD13-3008663BC31C}"/>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82</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EF6D198-AEFA-4209-B58A-6557462336C3}"/>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206FE7D-57B0-4464-AB66-760020E117F0}"/>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83</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A6B7E8B-71E7-491A-8A89-8A87DE70DA19}"/>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84</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4C369F1-6BE6-4546-91E2-3C2D5CDEF522}"/>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81</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BB44B03-B80B-412F-A0F9-1E440CD5CF7A}"/>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78</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FA23DB7-9E4C-4D02-A74F-5E1CBEA5845E}"/>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88BE068-8F68-4401-836D-5E9B183C8BC8}"/>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18</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27512C4-80E6-408E-A8A0-59617B4347ED}"/>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22</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7847BC5-4AE7-4FFC-A270-B2CDF1477C2D}"/>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F3557CB-7CB1-4FB1-8640-646DC2706505}"/>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27</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E17D1C2-0F44-4192-B4EA-701DD0479D10}"/>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EA5CC4E-7BF2-4871-9910-7AC90D068EEA}"/>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EDC5CD1-3752-49EA-A12D-F163975207E6}"/>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30</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2475F3A-C3BA-43E0-8CB9-6D5B93F87425}"/>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546A1BF-3B91-4F8B-870E-7FD5D958C583}"/>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BFC41AC-AA48-4AB3-8366-BC8C5DD53A71}"/>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24</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E7B5DD4-1736-45B9-914F-E8437E272020}"/>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24</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526B944-7CFE-4D0A-BA09-7BA11711730C}"/>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24</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00B03AB-68EC-4505-BA79-36A08FEC60AF}"/>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30</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C2A6896-9F1C-4F41-B33F-F951A2E81D8B}"/>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10</xdr:col>
      <xdr:colOff>0</xdr:colOff>
      <xdr:row>96</xdr:row>
      <xdr:rowOff>71877</xdr:rowOff>
    </xdr:from>
    <xdr:to>
      <xdr:col>11</xdr:col>
      <xdr:colOff>240533</xdr:colOff>
      <xdr:row>96</xdr:row>
      <xdr:rowOff>649162</xdr:rowOff>
    </xdr:to>
    <xdr:pic>
      <xdr:nvPicPr>
        <xdr:cNvPr id="32" name="Imagen 31">
          <a:extLst>
            <a:ext uri="{FF2B5EF4-FFF2-40B4-BE49-F238E27FC236}">
              <a16:creationId xmlns:a16="http://schemas.microsoft.com/office/drawing/2014/main" id="{90F49FA0-49BE-495A-83DC-775926C88E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39387" y="7558527"/>
          <a:ext cx="968915" cy="577285"/>
        </a:xfrm>
        <a:prstGeom prst="rect">
          <a:avLst/>
        </a:prstGeom>
      </xdr:spPr>
    </xdr:pic>
    <xdr:clientData/>
  </xdr:twoCellAnchor>
  <xdr:oneCellAnchor>
    <xdr:from>
      <xdr:col>8</xdr:col>
      <xdr:colOff>0</xdr:colOff>
      <xdr:row>5</xdr:row>
      <xdr:rowOff>0</xdr:rowOff>
    </xdr:from>
    <xdr:ext cx="304800" cy="304800"/>
    <xdr:sp macro="" textlink="">
      <xdr:nvSpPr>
        <xdr:cNvPr id="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999E629-4E1B-4780-9122-F0D920479854}"/>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9C382DD-2D5F-47F9-A962-7C5329F1107D}"/>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0989845-D76E-461B-BB9C-4CA4E974B94A}"/>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204CB36-9C2A-423A-B37A-CC45B702548B}"/>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1D18FB6-E666-4DC6-92A0-29C038F6E0A8}"/>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876C812-6561-459E-A4B0-1D986468EC7C}"/>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823CE79-7819-42FE-9285-AF8D1B9A4C6A}"/>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30</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420B6A4-A4E6-4B5F-A56E-81375AD9D65A}"/>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8CC8559-0666-44DA-B21F-137BC4065789}"/>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1CA8C27-65A4-4A26-8649-1B4F0EF5464A}"/>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47FE563-C4FE-438B-9982-4504D6D890FA}"/>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4470D23-9CD9-45EF-AE44-8ED639E20EF7}"/>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A96A79F-572B-4DDC-B24B-07BB62BB572E}"/>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813F601-9A75-40D3-8303-C3FD868AB158}"/>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51D8F54-3652-4122-AC2E-A0DE5E5391FC}"/>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ED3D912-6C99-489C-841C-2124E9718E41}"/>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C561E49-C0B2-4B88-800D-5D0E9F079E42}"/>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177B42B-21F2-49C4-8752-96F4DFD0A57A}"/>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5</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F623E7E-CB8A-4369-9F13-C12A57E5FFD0}"/>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3368B75-8E56-4498-A862-FFBEC0991542}"/>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8F5626C-EAE8-4203-BC24-A7499F9309F6}"/>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C18C079-0A75-44F6-A75F-CEA9B1C03454}"/>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75799B5-1060-404C-B203-F9DEB8053F8B}"/>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756A387-AFEE-438F-A851-73620DB532F3}"/>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39</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D6A9827-1445-459C-B3E9-789DBEEC77A5}"/>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39</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C2A3E86-31E1-49A3-A72C-AB2A7B8893AD}"/>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82</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30C5C96-5F73-49FB-8354-6F513E29AD72}"/>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DB77F78-A8C3-4E9D-907D-C06CCA4D477C}"/>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83</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1960002-6155-4480-90EA-31BA7EB30A29}"/>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84</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ED759B7-A375-4233-80E8-5EE44C25A023}"/>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54B33A9-2CB0-49DC-8F36-DB986D9968ED}"/>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78</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9F76CC1-84DB-49F5-AD50-B328E4FA13C4}"/>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79</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2167069-10C2-40AF-BF88-E5F7DC7DF75D}"/>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18</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E505187-6905-4D6A-B05E-F502BA4DFADE}"/>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22</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67FBE1C-8228-4DCA-A3AC-1652007C6F1D}"/>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60AEE00-6F94-44DD-A22E-9ECFBC11829B}"/>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27</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0568644-513F-4C0F-8E48-B52F3033907F}"/>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18D11E0-7CF6-433A-A839-70E28FE11E31}"/>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628D557-B72C-40B4-8910-3927A1C67870}"/>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30</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870EBB7-2676-4EC1-A7CE-E414A6189FDB}"/>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21C1B24-2B72-46D3-A422-7448D3925EEC}"/>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600D285-E55A-420A-BE60-9A66F0389958}"/>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CFFAA9F-BFBB-47EB-9599-AA6B3A9B04C6}"/>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85</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8542B7D-39C8-4A0F-B979-0A6F70656B02}"/>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85</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EA63743-5BBF-4462-8D8A-297519907EB9}"/>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85</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F649A1D-E12E-4DCB-B828-D6CEB8DE64DD}"/>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CE1F85C-C2EB-46FB-8B79-C4F8B0560EAA}"/>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BEC1CA2-02A9-40F3-928B-56183341D0CA}"/>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B37D3A9-F699-4EA7-A1C9-9D80DFC04C11}"/>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289058E-91D1-4258-9D99-AA5FBA898AA9}"/>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1C35D6E-053F-48C5-B1A3-F1CAF8BCF08C}"/>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AE240B5-461E-4FB3-879C-DFE67288F01A}"/>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A7D389A-612E-4CF4-B9D8-C1ACDBCD8F48}"/>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D0AD72D-591D-43B2-8467-64A773F07172}"/>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54A98A6-1BA1-40DF-AB30-F7A085FFFCB8}"/>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00A9907-D30A-40D0-AAE2-901A47E60E89}"/>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71B7DC5-20D3-4C23-A26A-7F469CD96174}"/>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81</xdr:row>
      <xdr:rowOff>0</xdr:rowOff>
    </xdr:from>
    <xdr:ext cx="304800" cy="304800"/>
    <xdr:sp macro="" textlink="">
      <xdr:nvSpPr>
        <xdr:cNvPr id="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7C7D009-7B7C-4E49-814F-EF8F28D9503E}"/>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xdr:row>
      <xdr:rowOff>0</xdr:rowOff>
    </xdr:from>
    <xdr:ext cx="304800" cy="304800"/>
    <xdr:sp macro="" textlink="">
      <xdr:nvSpPr>
        <xdr:cNvPr id="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CBE8BB0-A21F-4A37-8201-759F4E1C8B55}"/>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E10BDD2-F2E2-4007-BF62-B67D1C14322F}"/>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AD329C9-3873-49AA-86D3-60B1A2FBF83E}"/>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68E44E9-FCFF-4723-AA4A-FF0E26698410}"/>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42A557C-0A81-4880-870D-6D18CA315199}"/>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E554116-79A5-4487-9495-F8F9050EA5EE}"/>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CDE1ADB-F84A-41BF-89A0-41090C2CAFEF}"/>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1040AF0-2114-4D7C-8C59-F4C3F8A90599}"/>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4C6A54C-5333-48A8-A87B-B2C294A4FC5F}"/>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F569582-382A-4133-BCDF-62A8645B0983}"/>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D8909B0-5006-40FE-9158-3DF103BC880D}"/>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274235F-6904-466C-9B32-D6B6E2D60ED0}"/>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405C607-BEE1-491E-A556-0491E3488A6C}"/>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82</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51CF279-3C1A-4545-88D2-D300EACCE959}"/>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82</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06ECC6A-B33A-4EEE-B7DA-7916B9F11DFA}"/>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C20ABE6-2502-4F47-B615-C7DE31D821AD}"/>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83</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7228CA0-276D-4D64-9134-845EE0FC8339}"/>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84</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EAE4EBB-E687-4A9B-92A6-F8A5CB665A5D}"/>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476EE10-00D6-442B-956E-E57479975445}"/>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C379CBE-D869-4DC6-B4F5-5115229EA828}"/>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79</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2CD59C5-A7EB-46BB-BF13-89DB4370522F}"/>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80</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C02991E-C8EC-42DB-AB3B-D31E8BCACED3}"/>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22</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85C4C53-7E68-417D-B532-1DCF16750508}"/>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B17923C-5158-47C6-97EE-62600774223A}"/>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27</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DB66416-7A07-4880-B5B0-C9C1FC0BCC3F}"/>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20918F4-66F0-499C-A918-D599BA57774D}"/>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85023F9-3B88-4A88-8ADE-5F14A5428E4A}"/>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A24C379-2CAD-49C1-A920-6D82656664C6}"/>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32B190B-8A67-48CC-994F-81E6A36FD716}"/>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63247F7-CE27-496A-A527-713AEBFCD67A}"/>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142D4B6-FAB4-40BB-9492-C7898F9ADCBE}"/>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32</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CBC96DA-2AB7-4C61-BAB0-4B53DBE1FB80}"/>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91</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E1A1C8F-B778-42DC-B8FB-A3BC35548E07}"/>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91</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B109E41-8056-4FD2-BF39-2D06F1130B21}"/>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91</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22CE6BA-37D6-469C-9A83-7CF2B6BF04A0}"/>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F88F8E3-9A4C-4BC7-8F31-E05CA04D84E4}"/>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D661304-CBB7-4D3B-832A-A7C9B8EBFCF1}"/>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5513ADD-82B3-43BE-80D4-585F809196A4}"/>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D833F33-8BC7-4B83-9451-B2AFACE254B1}"/>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79253F4-E62F-439B-BB92-2D59F84AF0EE}"/>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674B3B8-05DF-41F2-9FCA-B300D8213A2E}"/>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4623144-E7B4-4A2B-A76A-7BD4CA25C668}"/>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1E77B8A-3255-4D2E-9AB5-E74B1CB35324}"/>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625321C-8E39-48EA-A68E-F6A76F87960D}"/>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2C5804F-31E6-457B-9A1D-E091D0AEE892}"/>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E624AC8-65EB-4985-BC5B-B33FFB4CD01C}"/>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78</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27AD256-E293-44F8-B562-6D1B0689694D}"/>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81</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775EB2E-2597-41AC-ACC6-E5E932BDECE1}"/>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4CFC75E-B223-4170-9FB8-D88C432FDB75}"/>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180C205-CCE0-4EAE-A0E7-F52BF290C86F}"/>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39</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2F0F977-0209-4EB9-A617-92EDBA13C8EA}"/>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39</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5E5690D-2DED-4AA8-A3B2-E4826D21BD5C}"/>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2C4F811-0C2C-43B7-802F-ED4E174B22F7}"/>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026A8BB-2FA2-4193-A19D-A2C8DD6DBB41}"/>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1864DB7-BD3E-4234-94F9-E989ADBF5F1E}"/>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A04103C-DA6E-41A2-BAD6-92B4518E1DDB}"/>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7CB2D56-D758-4F1E-847F-11F416031BE5}"/>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24F905F-C1B4-44BA-BDE3-E582B45F8EBA}"/>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BD39959-AE48-4E05-A89D-1B1FBA87EB65}"/>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93A800A-49EF-4E77-86A6-E007FCFC4097}"/>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5FEE679-C9C1-4422-A5F5-E6B9735601AC}"/>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CF26CF5-6AB7-49DB-86CB-D3FEA37E373A}"/>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83</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F37CBC0-E7A7-4C69-AA87-0450E8B66578}"/>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84</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C6A8DD7-F681-43BF-8C36-A795CE9E60B6}"/>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7DE3B21-240B-44B4-A366-2392FF8FE568}"/>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9BA8975-0C9B-4CA9-9352-39298D64131E}"/>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81</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F0DB57F-58EB-4BE9-998A-2DE71FE200C8}"/>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80</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563E334-30B7-4C88-84E3-7803DF4BA382}"/>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A0EEB22-38D3-4A6E-8511-ED0769AF1357}"/>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B28860D-3D41-4355-AFAF-2D01F28A7551}"/>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27</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E3E0057-1040-430C-9784-AD0AC5188B14}"/>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D4C0A35-6652-41E9-8161-5FAB1FD9CB8D}"/>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7AEA926-177B-412F-93B6-C1311C68E4B7}"/>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A71C0D0-FF6E-4C5E-9ECC-893E302FDB22}"/>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30</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4169B96-4624-4E66-9FE8-DF759667704C}"/>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E497083-2217-4B37-9970-F4A87B92BC0E}"/>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3BAD6A5-C437-49D7-9D00-837B2D6616ED}"/>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32</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7BC091F-5F90-4A4F-B750-E88CE65EAD82}"/>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33</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1210E3F-2099-44C7-9D5E-8EC23F319C19}"/>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71</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3B8FA5B-EFBD-47C1-8889-BB05FA443609}"/>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71</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D1D3262-4345-4F41-A7BD-BDA9A3EAE99C}"/>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71</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5AD3091-526F-44BE-ADB3-499E3D38668A}"/>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9E5962C-C226-435A-84B8-F4623C650D97}"/>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606B104-F195-466B-9C8E-4AC0B71296CE}"/>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1B03B2E-C74F-481A-AA9C-66ECA89E9EFE}"/>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E9248BB-E761-4115-B4B6-5567865B3E1F}"/>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C7E84A7-650A-481B-9DA0-D5CDA7EE374B}"/>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FCC589C-C340-4677-931C-0FE5B8D12859}"/>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4CB29E5-D065-4027-BF05-926F12AE4CA7}"/>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140D578-54CA-49D3-97A9-B4CD3E77C237}"/>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4FB9AB9-B166-4680-88F4-06ED865C8554}"/>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32</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8359F9A-FF1E-407B-B1A0-9772D78DCA10}"/>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32</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0777B3A-E540-435B-B2CC-66B466511134}"/>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79</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F45B567-17D6-4B6C-8171-14733A657833}"/>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78</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F5C9D69-AF5E-4C15-9316-3DDBCF308532}"/>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39</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C46B618-2098-4CF1-8895-40D3CDAAD371}"/>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39</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CCA23F2-D636-40B8-AB2C-3DF0CB606329}"/>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82</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E9AB511-74B9-4BEC-A7E9-091B8A28F004}"/>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82</xdr:row>
      <xdr:rowOff>0</xdr:rowOff>
    </xdr:from>
    <xdr:ext cx="304800" cy="304800"/>
    <xdr:sp macro="" textlink="">
      <xdr:nvSpPr>
        <xdr:cNvPr id="1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80B662A-645A-4209-BD51-924F3683BCAE}"/>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62E00CC-2ADF-4EB3-AB34-61B4CB69754A}"/>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DD1F560-2308-4C0B-B5A0-B429197344D2}"/>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1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22D4084-ED26-4C3B-952E-3E15304771D5}"/>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B90D17E-03D4-444A-9409-5D8AE124F90A}"/>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91A462B-2AC6-4C02-8CB9-91A1B4558DC3}"/>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1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EE107DB-6A53-46E9-95F4-A309E2763DF2}"/>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1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3A5FD55-D572-4717-8C7A-F8403F742BBA}"/>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1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F0B3CEA-0BF2-4C10-8645-C970A5F0BD1E}"/>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304800" cy="304800"/>
    <xdr:sp macro="" textlink="">
      <xdr:nvSpPr>
        <xdr:cNvPr id="1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49E705E-8320-4B57-AF46-027E40202B87}"/>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304800" cy="304800"/>
    <xdr:sp macro="" textlink="">
      <xdr:nvSpPr>
        <xdr:cNvPr id="1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8192F86-1C68-4606-A8F3-59782909D3E1}"/>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83</xdr:row>
      <xdr:rowOff>0</xdr:rowOff>
    </xdr:from>
    <xdr:ext cx="304800" cy="304800"/>
    <xdr:sp macro="" textlink="">
      <xdr:nvSpPr>
        <xdr:cNvPr id="2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2A14143-C8D0-470B-896F-61BEF21DBF2D}"/>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84</xdr:row>
      <xdr:rowOff>0</xdr:rowOff>
    </xdr:from>
    <xdr:ext cx="304800" cy="304800"/>
    <xdr:sp macro="" textlink="">
      <xdr:nvSpPr>
        <xdr:cNvPr id="2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AAD695D-F92A-4889-AA04-971CF6AC427C}"/>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xdr:row>
      <xdr:rowOff>0</xdr:rowOff>
    </xdr:from>
    <xdr:ext cx="304800" cy="304800"/>
    <xdr:sp macro="" textlink="">
      <xdr:nvSpPr>
        <xdr:cNvPr id="2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DE8A325-C9F6-40D3-BA32-7B967F6E56CB}"/>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xdr:row>
      <xdr:rowOff>0</xdr:rowOff>
    </xdr:from>
    <xdr:ext cx="304800" cy="304800"/>
    <xdr:sp macro="" textlink="">
      <xdr:nvSpPr>
        <xdr:cNvPr id="2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C24615F-EBFE-4E33-A7E1-DF70CDEC9A36}"/>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81</xdr:row>
      <xdr:rowOff>0</xdr:rowOff>
    </xdr:from>
    <xdr:ext cx="304800" cy="304800"/>
    <xdr:sp macro="" textlink="">
      <xdr:nvSpPr>
        <xdr:cNvPr id="2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1B3CA14-2055-4507-85E4-5D8859AE9A04}"/>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80</xdr:row>
      <xdr:rowOff>0</xdr:rowOff>
    </xdr:from>
    <xdr:ext cx="304800" cy="304800"/>
    <xdr:sp macro="" textlink="">
      <xdr:nvSpPr>
        <xdr:cNvPr id="2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B16BA43-33FD-4143-8A48-C6EEB73EDD74}"/>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xdr:row>
      <xdr:rowOff>0</xdr:rowOff>
    </xdr:from>
    <xdr:ext cx="304800" cy="304800"/>
    <xdr:sp macro="" textlink="">
      <xdr:nvSpPr>
        <xdr:cNvPr id="2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A74FB65-82E9-4F01-903D-EC7AE256C6E1}"/>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2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E0C04EF-A420-4283-BB81-A0223E4D0DBA}"/>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27</xdr:row>
      <xdr:rowOff>0</xdr:rowOff>
    </xdr:from>
    <xdr:ext cx="304800" cy="304800"/>
    <xdr:sp macro="" textlink="">
      <xdr:nvSpPr>
        <xdr:cNvPr id="2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3A643AA-4F1A-4891-B233-100D07C2F6A0}"/>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xdr:row>
      <xdr:rowOff>0</xdr:rowOff>
    </xdr:from>
    <xdr:ext cx="304800" cy="304800"/>
    <xdr:sp macro="" textlink="">
      <xdr:nvSpPr>
        <xdr:cNvPr id="2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BBDA2C8-01FE-4339-BCE2-BEC7B60E4E08}"/>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xdr:row>
      <xdr:rowOff>0</xdr:rowOff>
    </xdr:from>
    <xdr:ext cx="304800" cy="304800"/>
    <xdr:sp macro="" textlink="">
      <xdr:nvSpPr>
        <xdr:cNvPr id="2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7CE135E-3E6A-4FD4-A7E9-D2D1E2FED2F5}"/>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2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CAB5839-478D-43E0-9288-5F7C2480045E}"/>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30</xdr:row>
      <xdr:rowOff>0</xdr:rowOff>
    </xdr:from>
    <xdr:ext cx="304800" cy="304800"/>
    <xdr:sp macro="" textlink="">
      <xdr:nvSpPr>
        <xdr:cNvPr id="2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7D0A004-3B64-4EE3-85AF-2EE767F576D4}"/>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2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6CF4E97-8FFA-452E-A437-1F988FDB0249}"/>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xdr:row>
      <xdr:rowOff>0</xdr:rowOff>
    </xdr:from>
    <xdr:ext cx="304800" cy="304800"/>
    <xdr:sp macro="" textlink="">
      <xdr:nvSpPr>
        <xdr:cNvPr id="2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5C11BFD-0A8E-416F-ADD7-EBCB63312F1B}"/>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32</xdr:row>
      <xdr:rowOff>0</xdr:rowOff>
    </xdr:from>
    <xdr:ext cx="304800" cy="304800"/>
    <xdr:sp macro="" textlink="">
      <xdr:nvSpPr>
        <xdr:cNvPr id="2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B80F397-7661-41AA-AEF6-9AA2C4306907}"/>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33</xdr:row>
      <xdr:rowOff>0</xdr:rowOff>
    </xdr:from>
    <xdr:ext cx="304800" cy="304800"/>
    <xdr:sp macro="" textlink="">
      <xdr:nvSpPr>
        <xdr:cNvPr id="2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1EE6C31-702E-433F-9289-6141CF96E259}"/>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71</xdr:row>
      <xdr:rowOff>0</xdr:rowOff>
    </xdr:from>
    <xdr:ext cx="304800" cy="304800"/>
    <xdr:sp macro="" textlink="">
      <xdr:nvSpPr>
        <xdr:cNvPr id="2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17E283B-6100-4480-9D40-0356530F5F36}"/>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71</xdr:row>
      <xdr:rowOff>0</xdr:rowOff>
    </xdr:from>
    <xdr:ext cx="304800" cy="304800"/>
    <xdr:sp macro="" textlink="">
      <xdr:nvSpPr>
        <xdr:cNvPr id="2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9A35DDE-4481-4010-9990-E17C63152640}"/>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71</xdr:row>
      <xdr:rowOff>0</xdr:rowOff>
    </xdr:from>
    <xdr:ext cx="304800" cy="304800"/>
    <xdr:sp macro="" textlink="">
      <xdr:nvSpPr>
        <xdr:cNvPr id="2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7F08E57-F744-49A4-A9E3-D038B3DA139B}"/>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xdr:row>
      <xdr:rowOff>0</xdr:rowOff>
    </xdr:from>
    <xdr:ext cx="304800" cy="304800"/>
    <xdr:sp macro="" textlink="">
      <xdr:nvSpPr>
        <xdr:cNvPr id="2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1CB19BA-30D0-48EA-AC43-89F47E38B3BD}"/>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2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D250635-A878-48E2-A9B8-57A5FA36B5BC}"/>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2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7F3E544-C9E7-4CCC-BC32-F76DD1E6D727}"/>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2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19DAE06-31A2-485B-899C-DEB78EC675C2}"/>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2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1053568-7192-4430-AADC-2C992557867F}"/>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2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E5B48B1-6A6A-4940-BFE4-D49FE23F00C8}"/>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2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674CC30-21BD-429D-8D2B-4F0B06DCC1FD}"/>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2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E0A00D6-A49D-4B40-9065-025D87761FD8}"/>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xdr:row>
      <xdr:rowOff>0</xdr:rowOff>
    </xdr:from>
    <xdr:ext cx="304800" cy="304800"/>
    <xdr:sp macro="" textlink="">
      <xdr:nvSpPr>
        <xdr:cNvPr id="2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5D90450-8571-4757-825C-F02FF99900D1}"/>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32</xdr:row>
      <xdr:rowOff>0</xdr:rowOff>
    </xdr:from>
    <xdr:ext cx="304800" cy="304800"/>
    <xdr:sp macro="" textlink="">
      <xdr:nvSpPr>
        <xdr:cNvPr id="2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BFF01AC-B73D-45F6-909B-4863D887F790}"/>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32</xdr:row>
      <xdr:rowOff>0</xdr:rowOff>
    </xdr:from>
    <xdr:ext cx="304800" cy="304800"/>
    <xdr:sp macro="" textlink="">
      <xdr:nvSpPr>
        <xdr:cNvPr id="2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EE48703-B873-4F40-8705-BA1ED7D02CE8}"/>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79</xdr:row>
      <xdr:rowOff>0</xdr:rowOff>
    </xdr:from>
    <xdr:ext cx="304800" cy="304800"/>
    <xdr:sp macro="" textlink="">
      <xdr:nvSpPr>
        <xdr:cNvPr id="2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D5F6400-FAB5-4BC1-8E6F-E3A2DC817806}"/>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78</xdr:row>
      <xdr:rowOff>0</xdr:rowOff>
    </xdr:from>
    <xdr:ext cx="304800" cy="304800"/>
    <xdr:sp macro="" textlink="">
      <xdr:nvSpPr>
        <xdr:cNvPr id="2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E5E02F0-D321-49DE-9AD7-592203AA57C5}"/>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39</xdr:row>
      <xdr:rowOff>0</xdr:rowOff>
    </xdr:from>
    <xdr:ext cx="304800" cy="304800"/>
    <xdr:sp macro="" textlink="">
      <xdr:nvSpPr>
        <xdr:cNvPr id="2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A46B275-37B6-4C65-ADB5-471FE8A5710F}"/>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39</xdr:row>
      <xdr:rowOff>0</xdr:rowOff>
    </xdr:from>
    <xdr:ext cx="304800" cy="304800"/>
    <xdr:sp macro="" textlink="">
      <xdr:nvSpPr>
        <xdr:cNvPr id="2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7F699B3-068F-4201-BC1F-B89D8988F1E3}"/>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82</xdr:row>
      <xdr:rowOff>0</xdr:rowOff>
    </xdr:from>
    <xdr:ext cx="304800" cy="304800"/>
    <xdr:sp macro="" textlink="">
      <xdr:nvSpPr>
        <xdr:cNvPr id="2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A32D6C9-2F1B-4443-99AD-1F81A097B937}"/>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82</xdr:row>
      <xdr:rowOff>0</xdr:rowOff>
    </xdr:from>
    <xdr:ext cx="304800" cy="304800"/>
    <xdr:sp macro="" textlink="">
      <xdr:nvSpPr>
        <xdr:cNvPr id="2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99B0EEE-482A-4CB0-B0C9-49337B16ED0E}"/>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2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A3B8379-C762-44BE-865C-79D91F6A47D2}"/>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2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8CA4143-FF75-4669-92CF-2CE9AF98BB97}"/>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2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1B99E2A-21F1-4F83-8E1C-2405F57EA158}"/>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2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91FF6D9-FC55-4DCE-9CE6-51665789483F}"/>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2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74EF3A8-C7BA-4B17-9196-EDF323F08D8D}"/>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2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496796D-94B4-4C20-8191-DB24AC5232FC}"/>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2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E821A49-C54E-4BC0-92CC-06F7775E1733}"/>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39</xdr:row>
      <xdr:rowOff>0</xdr:rowOff>
    </xdr:from>
    <xdr:ext cx="304800" cy="304800"/>
    <xdr:sp macro="" textlink="">
      <xdr:nvSpPr>
        <xdr:cNvPr id="2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752D7DD-93BF-41F6-BB3B-3BAEE3F6B2B2}"/>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83</xdr:row>
      <xdr:rowOff>0</xdr:rowOff>
    </xdr:from>
    <xdr:ext cx="304800" cy="304800"/>
    <xdr:sp macro="" textlink="">
      <xdr:nvSpPr>
        <xdr:cNvPr id="2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8BE8FC6-0DDB-48BE-9CAC-ECCE07E98D18}"/>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83</xdr:row>
      <xdr:rowOff>0</xdr:rowOff>
    </xdr:from>
    <xdr:ext cx="304800" cy="304800"/>
    <xdr:sp macro="" textlink="">
      <xdr:nvSpPr>
        <xdr:cNvPr id="2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058AB92-2666-4EFC-BB98-377FF2B4D6CF}"/>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84</xdr:row>
      <xdr:rowOff>0</xdr:rowOff>
    </xdr:from>
    <xdr:ext cx="304800" cy="304800"/>
    <xdr:sp macro="" textlink="">
      <xdr:nvSpPr>
        <xdr:cNvPr id="2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8148ACA-3CB4-4F63-ACDD-7DD6C693923A}"/>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xdr:row>
      <xdr:rowOff>0</xdr:rowOff>
    </xdr:from>
    <xdr:ext cx="304800" cy="304800"/>
    <xdr:sp macro="" textlink="">
      <xdr:nvSpPr>
        <xdr:cNvPr id="2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D75EF38-F076-4C04-BD4A-F66C5C86C047}"/>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xdr:row>
      <xdr:rowOff>0</xdr:rowOff>
    </xdr:from>
    <xdr:ext cx="304800" cy="304800"/>
    <xdr:sp macro="" textlink="">
      <xdr:nvSpPr>
        <xdr:cNvPr id="2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77675F2-2B02-42DF-A8FC-4C080145728E}"/>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81</xdr:row>
      <xdr:rowOff>0</xdr:rowOff>
    </xdr:from>
    <xdr:ext cx="304800" cy="304800"/>
    <xdr:sp macro="" textlink="">
      <xdr:nvSpPr>
        <xdr:cNvPr id="2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F92EA41-37DC-4222-A48D-31DE70DF8A1A}"/>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78</xdr:row>
      <xdr:rowOff>0</xdr:rowOff>
    </xdr:from>
    <xdr:ext cx="304800" cy="304800"/>
    <xdr:sp macro="" textlink="">
      <xdr:nvSpPr>
        <xdr:cNvPr id="2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EE24C0F-F517-46A8-8940-ED7C9771E960}"/>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xdr:row>
      <xdr:rowOff>0</xdr:rowOff>
    </xdr:from>
    <xdr:ext cx="304800" cy="304800"/>
    <xdr:sp macro="" textlink="">
      <xdr:nvSpPr>
        <xdr:cNvPr id="2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4C57A7A-629E-4DF0-8F77-D4BA36B64621}"/>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18</xdr:row>
      <xdr:rowOff>0</xdr:rowOff>
    </xdr:from>
    <xdr:ext cx="304800" cy="304800"/>
    <xdr:sp macro="" textlink="">
      <xdr:nvSpPr>
        <xdr:cNvPr id="2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6B22EB5-B7D3-4FF4-ACB9-1B8BF5753117}"/>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27</xdr:row>
      <xdr:rowOff>0</xdr:rowOff>
    </xdr:from>
    <xdr:ext cx="304800" cy="304800"/>
    <xdr:sp macro="" textlink="">
      <xdr:nvSpPr>
        <xdr:cNvPr id="2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BC1258C-3464-4825-858A-32A358E0EC41}"/>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xdr:row>
      <xdr:rowOff>0</xdr:rowOff>
    </xdr:from>
    <xdr:ext cx="304800" cy="304800"/>
    <xdr:sp macro="" textlink="">
      <xdr:nvSpPr>
        <xdr:cNvPr id="2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E710A42-E0A6-435D-A84C-3929D72A988D}"/>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xdr:row>
      <xdr:rowOff>0</xdr:rowOff>
    </xdr:from>
    <xdr:ext cx="304800" cy="304800"/>
    <xdr:sp macro="" textlink="">
      <xdr:nvSpPr>
        <xdr:cNvPr id="2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1902316-F626-46E1-8AEF-1EE401FA93FA}"/>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2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3A08F01-877C-4F0D-A0BF-E402D20E3940}"/>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30</xdr:row>
      <xdr:rowOff>0</xdr:rowOff>
    </xdr:from>
    <xdr:ext cx="304800" cy="304800"/>
    <xdr:sp macro="" textlink="">
      <xdr:nvSpPr>
        <xdr:cNvPr id="2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F5777EB-E61B-4D2D-A60B-A9070EDF16BA}"/>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2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CF8AFC3-DA3F-4C42-8475-4CE9AB750CB2}"/>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xdr:row>
      <xdr:rowOff>0</xdr:rowOff>
    </xdr:from>
    <xdr:ext cx="304800" cy="304800"/>
    <xdr:sp macro="" textlink="">
      <xdr:nvSpPr>
        <xdr:cNvPr id="2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9C5B891-8162-4BA8-8241-B0AC56F17F63}"/>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32</xdr:row>
      <xdr:rowOff>0</xdr:rowOff>
    </xdr:from>
    <xdr:ext cx="304800" cy="304800"/>
    <xdr:sp macro="" textlink="">
      <xdr:nvSpPr>
        <xdr:cNvPr id="2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6C37440-B9EB-47AF-AD41-8E995354EB08}"/>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33</xdr:row>
      <xdr:rowOff>0</xdr:rowOff>
    </xdr:from>
    <xdr:ext cx="304800" cy="304800"/>
    <xdr:sp macro="" textlink="">
      <xdr:nvSpPr>
        <xdr:cNvPr id="2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D8A123C-17E9-45F8-B70F-B2EF0CDF2275}"/>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2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AFC10C4-F857-4C7E-B488-3E263E8CAFBC}"/>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92</xdr:row>
      <xdr:rowOff>0</xdr:rowOff>
    </xdr:from>
    <xdr:ext cx="304800" cy="304800"/>
    <xdr:sp macro="" textlink="">
      <xdr:nvSpPr>
        <xdr:cNvPr id="2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2C6A90E-8B40-41C8-93B5-918704B89CC5}"/>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92</xdr:row>
      <xdr:rowOff>0</xdr:rowOff>
    </xdr:from>
    <xdr:ext cx="304800" cy="304800"/>
    <xdr:sp macro="" textlink="">
      <xdr:nvSpPr>
        <xdr:cNvPr id="2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F24959D-8470-4BCB-8308-478365C6443C}"/>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92</xdr:row>
      <xdr:rowOff>0</xdr:rowOff>
    </xdr:from>
    <xdr:ext cx="304800" cy="304800"/>
    <xdr:sp macro="" textlink="">
      <xdr:nvSpPr>
        <xdr:cNvPr id="2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D7C761E-8BD1-46C3-B12C-55E7EDB4730F}"/>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32</xdr:row>
      <xdr:rowOff>0</xdr:rowOff>
    </xdr:from>
    <xdr:ext cx="304800" cy="304800"/>
    <xdr:sp macro="" textlink="">
      <xdr:nvSpPr>
        <xdr:cNvPr id="2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EABB055-5611-4C92-B601-740D37CE8378}"/>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2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589C375-84F4-4E15-87CF-724C6ED6AA0F}"/>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2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928220D-D96D-46A6-9B3A-92C708A10E9C}"/>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2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B3FB5BA-5803-4170-ADA7-93BD9D6ED1CF}"/>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2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41ABB38-2669-4295-811F-60F8F53FB810}"/>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2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1630604-399C-43B4-8B9F-CF8D1F3F2D23}"/>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2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2333FD5-6697-45FA-8C82-9D1A9CFE3261}"/>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39</xdr:row>
      <xdr:rowOff>0</xdr:rowOff>
    </xdr:from>
    <xdr:ext cx="304800" cy="304800"/>
    <xdr:sp macro="" textlink="">
      <xdr:nvSpPr>
        <xdr:cNvPr id="2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D841D86-BBA0-4919-B3D5-505074D8AD6E}"/>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32</xdr:row>
      <xdr:rowOff>0</xdr:rowOff>
    </xdr:from>
    <xdr:ext cx="304800" cy="304800"/>
    <xdr:sp macro="" textlink="">
      <xdr:nvSpPr>
        <xdr:cNvPr id="2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FEF6E9B-01AC-4C51-B14A-3207DCA7B750}"/>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33</xdr:row>
      <xdr:rowOff>0</xdr:rowOff>
    </xdr:from>
    <xdr:ext cx="304800" cy="304800"/>
    <xdr:sp macro="" textlink="">
      <xdr:nvSpPr>
        <xdr:cNvPr id="2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382902C-0835-4F10-A795-920B06514AF6}"/>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33</xdr:row>
      <xdr:rowOff>0</xdr:rowOff>
    </xdr:from>
    <xdr:ext cx="304800" cy="304800"/>
    <xdr:sp macro="" textlink="">
      <xdr:nvSpPr>
        <xdr:cNvPr id="2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0FED69F-6D8D-41FF-B1DE-6D6AF25EDBD9}"/>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80</xdr:row>
      <xdr:rowOff>0</xdr:rowOff>
    </xdr:from>
    <xdr:ext cx="304800" cy="304800"/>
    <xdr:sp macro="" textlink="">
      <xdr:nvSpPr>
        <xdr:cNvPr id="2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0A511A6-E301-4B41-B72B-21BA5EC87C3C}"/>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79</xdr:row>
      <xdr:rowOff>0</xdr:rowOff>
    </xdr:from>
    <xdr:ext cx="304800" cy="304800"/>
    <xdr:sp macro="" textlink="">
      <xdr:nvSpPr>
        <xdr:cNvPr id="2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ED7374B-E8A0-4B0E-91A9-93C5E9CADC22}"/>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82</xdr:row>
      <xdr:rowOff>0</xdr:rowOff>
    </xdr:from>
    <xdr:ext cx="304800" cy="304800"/>
    <xdr:sp macro="" textlink="">
      <xdr:nvSpPr>
        <xdr:cNvPr id="2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3AC30AF-F2CC-4D06-A892-97096C7DA41E}"/>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82</xdr:row>
      <xdr:rowOff>0</xdr:rowOff>
    </xdr:from>
    <xdr:ext cx="304800" cy="304800"/>
    <xdr:sp macro="" textlink="">
      <xdr:nvSpPr>
        <xdr:cNvPr id="2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C37B5FD-5DA5-4FC1-9500-027544B37CFA}"/>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304800" cy="304800"/>
    <xdr:sp macro="" textlink="">
      <xdr:nvSpPr>
        <xdr:cNvPr id="2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FA06109-26F0-41FF-A1B5-F2500C7885AF}"/>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304800" cy="304800"/>
    <xdr:sp macro="" textlink="">
      <xdr:nvSpPr>
        <xdr:cNvPr id="2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827B921-09E0-4512-B107-9ACEA93E0F9D}"/>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2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634F183-393B-443F-A8A9-8B441B8774E0}"/>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2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1E55802-FA1C-4790-A399-7A71EF244BD5}"/>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2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797ECC2-E451-4A97-88C2-5E37BE55579A}"/>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2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A967A64-C247-48FF-84B0-C478D8A7887C}"/>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2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07C549D-59F2-4AE8-ADE4-A3DDE520D1F8}"/>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2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2E398B5-FD4B-4406-ADBD-40CF793CFE76}"/>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39</xdr:row>
      <xdr:rowOff>0</xdr:rowOff>
    </xdr:from>
    <xdr:ext cx="304800" cy="304800"/>
    <xdr:sp macro="" textlink="">
      <xdr:nvSpPr>
        <xdr:cNvPr id="2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F81283F-4560-4C0A-B147-3B7C4EA144D0}"/>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82</xdr:row>
      <xdr:rowOff>0</xdr:rowOff>
    </xdr:from>
    <xdr:ext cx="304800" cy="304800"/>
    <xdr:sp macro="" textlink="">
      <xdr:nvSpPr>
        <xdr:cNvPr id="2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DCEE032-8C03-4B34-A961-83C8A23354D7}"/>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84</xdr:row>
      <xdr:rowOff>0</xdr:rowOff>
    </xdr:from>
    <xdr:ext cx="304800" cy="304800"/>
    <xdr:sp macro="" textlink="">
      <xdr:nvSpPr>
        <xdr:cNvPr id="2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0A837F6-F11B-44AB-B38B-8A405CA7F61A}"/>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84</xdr:row>
      <xdr:rowOff>0</xdr:rowOff>
    </xdr:from>
    <xdr:ext cx="304800" cy="304800"/>
    <xdr:sp macro="" textlink="">
      <xdr:nvSpPr>
        <xdr:cNvPr id="2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760A3C9-2215-41F5-91D4-0359BE736370}"/>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xdr:row>
      <xdr:rowOff>0</xdr:rowOff>
    </xdr:from>
    <xdr:ext cx="304800" cy="304800"/>
    <xdr:sp macro="" textlink="">
      <xdr:nvSpPr>
        <xdr:cNvPr id="2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D414949-280C-454E-89E1-950EF0AE7DC3}"/>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xdr:row>
      <xdr:rowOff>0</xdr:rowOff>
    </xdr:from>
    <xdr:ext cx="304800" cy="304800"/>
    <xdr:sp macro="" textlink="">
      <xdr:nvSpPr>
        <xdr:cNvPr id="2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EBEB0A4-9917-44EC-8B9E-1EAA39D08175}"/>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81</xdr:row>
      <xdr:rowOff>0</xdr:rowOff>
    </xdr:from>
    <xdr:ext cx="304800" cy="304800"/>
    <xdr:sp macro="" textlink="">
      <xdr:nvSpPr>
        <xdr:cNvPr id="2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11698EE-6FFE-4105-A399-374BE29821B3}"/>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78</xdr:row>
      <xdr:rowOff>0</xdr:rowOff>
    </xdr:from>
    <xdr:ext cx="304800" cy="304800"/>
    <xdr:sp macro="" textlink="">
      <xdr:nvSpPr>
        <xdr:cNvPr id="2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F96C556-2F42-437D-B8F1-A63B209C9A28}"/>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79</xdr:row>
      <xdr:rowOff>0</xdr:rowOff>
    </xdr:from>
    <xdr:ext cx="304800" cy="304800"/>
    <xdr:sp macro="" textlink="">
      <xdr:nvSpPr>
        <xdr:cNvPr id="2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A97025F-74FF-42AD-8CC2-2EEDE67C108E}"/>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18</xdr:row>
      <xdr:rowOff>0</xdr:rowOff>
    </xdr:from>
    <xdr:ext cx="304800" cy="304800"/>
    <xdr:sp macro="" textlink="">
      <xdr:nvSpPr>
        <xdr:cNvPr id="2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F48FCE7-2113-49E2-8E18-00E746D9F616}"/>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22</xdr:row>
      <xdr:rowOff>0</xdr:rowOff>
    </xdr:from>
    <xdr:ext cx="304800" cy="304800"/>
    <xdr:sp macro="" textlink="">
      <xdr:nvSpPr>
        <xdr:cNvPr id="3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29C88F3-9F20-4D46-8DD6-561C8A82F1CE}"/>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xdr:row>
      <xdr:rowOff>0</xdr:rowOff>
    </xdr:from>
    <xdr:ext cx="304800" cy="304800"/>
    <xdr:sp macro="" textlink="">
      <xdr:nvSpPr>
        <xdr:cNvPr id="3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F239450-D6EA-496C-BE45-E39366C0165E}"/>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xdr:row>
      <xdr:rowOff>0</xdr:rowOff>
    </xdr:from>
    <xdr:ext cx="304800" cy="304800"/>
    <xdr:sp macro="" textlink="">
      <xdr:nvSpPr>
        <xdr:cNvPr id="3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E1D2BFF-8388-4019-B087-83E2048AE555}"/>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3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146A0BA-9BB7-4FA4-8292-2849FE502674}"/>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30</xdr:row>
      <xdr:rowOff>0</xdr:rowOff>
    </xdr:from>
    <xdr:ext cx="304800" cy="304800"/>
    <xdr:sp macro="" textlink="">
      <xdr:nvSpPr>
        <xdr:cNvPr id="3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1731F75-41FE-4B16-9CD8-CA1B0EE66E49}"/>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3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5CAAC73-DB57-4963-9EB5-D2C0D7DB0CB0}"/>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3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202DD5E-BCC6-4620-A406-8F4077336AF6}"/>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32</xdr:row>
      <xdr:rowOff>0</xdr:rowOff>
    </xdr:from>
    <xdr:ext cx="304800" cy="304800"/>
    <xdr:sp macro="" textlink="">
      <xdr:nvSpPr>
        <xdr:cNvPr id="3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CB95B8C-D149-48FF-BEC7-371E7490A2AA}"/>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33</xdr:row>
      <xdr:rowOff>0</xdr:rowOff>
    </xdr:from>
    <xdr:ext cx="304800" cy="304800"/>
    <xdr:sp macro="" textlink="">
      <xdr:nvSpPr>
        <xdr:cNvPr id="3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13955F0-AA82-4372-9BDE-E1D7637AFC1F}"/>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3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3B11E3D-E822-4F58-A0C6-83E753993F68}"/>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44</xdr:row>
      <xdr:rowOff>0</xdr:rowOff>
    </xdr:from>
    <xdr:ext cx="304800" cy="304800"/>
    <xdr:sp macro="" textlink="">
      <xdr:nvSpPr>
        <xdr:cNvPr id="3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D7B3F7A-1877-4903-BC99-95907AB82E47}"/>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47</xdr:row>
      <xdr:rowOff>0</xdr:rowOff>
    </xdr:from>
    <xdr:ext cx="304800" cy="304800"/>
    <xdr:sp macro="" textlink="">
      <xdr:nvSpPr>
        <xdr:cNvPr id="3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2DFD99A-0327-464A-9F1B-A714C86E14EB}"/>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47</xdr:row>
      <xdr:rowOff>0</xdr:rowOff>
    </xdr:from>
    <xdr:ext cx="304800" cy="304800"/>
    <xdr:sp macro="" textlink="">
      <xdr:nvSpPr>
        <xdr:cNvPr id="3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5302CEF-8E00-4B15-865D-6D74724D8B90}"/>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47</xdr:row>
      <xdr:rowOff>0</xdr:rowOff>
    </xdr:from>
    <xdr:ext cx="304800" cy="304800"/>
    <xdr:sp macro="" textlink="">
      <xdr:nvSpPr>
        <xdr:cNvPr id="3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667D015-5844-4F14-A909-606978D59F38}"/>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33</xdr:row>
      <xdr:rowOff>0</xdr:rowOff>
    </xdr:from>
    <xdr:ext cx="304800" cy="304800"/>
    <xdr:sp macro="" textlink="">
      <xdr:nvSpPr>
        <xdr:cNvPr id="3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7760B21-1EE4-4447-8D64-8DEEE0FFDE52}"/>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3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AAF409E-F419-4C0E-870A-F67D2A20CB2C}"/>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3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7BA9A19-C509-45B4-952E-A6016B0D9611}"/>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3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6B1AE7A-0828-4FC0-B7A6-47E2FFE7780F}"/>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3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712E814-63E4-4ED5-96E9-97FFE2DA20E0}"/>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3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E29144C-EBD0-47A8-BFC0-F6690FC19EFC}"/>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3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3B58101-7F8E-487B-9AD3-090EF2896C77}"/>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82</xdr:row>
      <xdr:rowOff>0</xdr:rowOff>
    </xdr:from>
    <xdr:ext cx="304800" cy="304800"/>
    <xdr:sp macro="" textlink="">
      <xdr:nvSpPr>
        <xdr:cNvPr id="3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0CEEC00-C610-489F-AF55-18A852FDF1AB}"/>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33</xdr:row>
      <xdr:rowOff>0</xdr:rowOff>
    </xdr:from>
    <xdr:ext cx="304800" cy="304800"/>
    <xdr:sp macro="" textlink="">
      <xdr:nvSpPr>
        <xdr:cNvPr id="3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A4F9D6E-56C3-43E7-A013-686280E176BC}"/>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3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ED9D473-777F-48BC-8BD1-C1348622B860}"/>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3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2BC7134-7432-47C9-ADDA-97E3AE5F37AA}"/>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xdr:row>
      <xdr:rowOff>0</xdr:rowOff>
    </xdr:from>
    <xdr:ext cx="304800" cy="304800"/>
    <xdr:sp macro="" textlink="">
      <xdr:nvSpPr>
        <xdr:cNvPr id="3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21B02CD-6253-4121-9514-1FD9E87DFB6C}"/>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80</xdr:row>
      <xdr:rowOff>0</xdr:rowOff>
    </xdr:from>
    <xdr:ext cx="304800" cy="304800"/>
    <xdr:sp macro="" textlink="">
      <xdr:nvSpPr>
        <xdr:cNvPr id="3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454A6D9-19ED-4F8A-A8D8-B3543516F314}"/>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304800" cy="304800"/>
    <xdr:sp macro="" textlink="">
      <xdr:nvSpPr>
        <xdr:cNvPr id="3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4E2013E-C6FE-4509-BD6A-AD92A52DA01B}"/>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304800" cy="304800"/>
    <xdr:sp macro="" textlink="">
      <xdr:nvSpPr>
        <xdr:cNvPr id="3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7E328C8-1C84-46E1-A93A-55E110EF2370}"/>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83</xdr:row>
      <xdr:rowOff>0</xdr:rowOff>
    </xdr:from>
    <xdr:ext cx="304800" cy="304800"/>
    <xdr:sp macro="" textlink="">
      <xdr:nvSpPr>
        <xdr:cNvPr id="3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4EB60A1-C557-4B79-A553-194742A52BAB}"/>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83</xdr:row>
      <xdr:rowOff>0</xdr:rowOff>
    </xdr:from>
    <xdr:ext cx="304800" cy="304800"/>
    <xdr:sp macro="" textlink="">
      <xdr:nvSpPr>
        <xdr:cNvPr id="3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43DF75F-18CE-46CF-9B7F-401DF2FEC41E}"/>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3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317E174-1A98-4663-9795-8BC23103CEF6}"/>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3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38FF5E5-C80C-46BA-8B44-D30ECDC38FD2}"/>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3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02FB427-297B-4574-B549-1A95BEB9FAF0}"/>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3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9BF3547-06FB-4D33-ABAF-D953B4A8CE84}"/>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3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8E29A17-9637-4A9A-9445-33197E28A765}"/>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39</xdr:row>
      <xdr:rowOff>0</xdr:rowOff>
    </xdr:from>
    <xdr:ext cx="304800" cy="304800"/>
    <xdr:sp macro="" textlink="">
      <xdr:nvSpPr>
        <xdr:cNvPr id="3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89C2295-09FC-4E98-A838-360E9685AC88}"/>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82</xdr:row>
      <xdr:rowOff>0</xdr:rowOff>
    </xdr:from>
    <xdr:ext cx="304800" cy="304800"/>
    <xdr:sp macro="" textlink="">
      <xdr:nvSpPr>
        <xdr:cNvPr id="3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A82BF4D-9F16-4A2E-8FC3-D0B8B21B7F3C}"/>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304800" cy="304800"/>
    <xdr:sp macro="" textlink="">
      <xdr:nvSpPr>
        <xdr:cNvPr id="3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1FEE9BB-0ABE-4B00-92B7-0D26FF175E7B}"/>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xdr:row>
      <xdr:rowOff>0</xdr:rowOff>
    </xdr:from>
    <xdr:ext cx="304800" cy="304800"/>
    <xdr:sp macro="" textlink="">
      <xdr:nvSpPr>
        <xdr:cNvPr id="3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0723714-1EF4-4BB4-93A2-EDB892587534}"/>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xdr:row>
      <xdr:rowOff>0</xdr:rowOff>
    </xdr:from>
    <xdr:ext cx="304800" cy="304800"/>
    <xdr:sp macro="" textlink="">
      <xdr:nvSpPr>
        <xdr:cNvPr id="3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653754E-01B4-4A74-9BC1-1A555EB311F2}"/>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xdr:row>
      <xdr:rowOff>0</xdr:rowOff>
    </xdr:from>
    <xdr:ext cx="304800" cy="304800"/>
    <xdr:sp macro="" textlink="">
      <xdr:nvSpPr>
        <xdr:cNvPr id="3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76D8EAF-4396-404C-970F-B5B9A8AD5F61}"/>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81</xdr:row>
      <xdr:rowOff>0</xdr:rowOff>
    </xdr:from>
    <xdr:ext cx="304800" cy="304800"/>
    <xdr:sp macro="" textlink="">
      <xdr:nvSpPr>
        <xdr:cNvPr id="3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6506A66-E6E9-4919-B218-C9DA0210AE56}"/>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78</xdr:row>
      <xdr:rowOff>0</xdr:rowOff>
    </xdr:from>
    <xdr:ext cx="304800" cy="304800"/>
    <xdr:sp macro="" textlink="">
      <xdr:nvSpPr>
        <xdr:cNvPr id="3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9D43C95-E523-4753-9DBD-100349613F81}"/>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79</xdr:row>
      <xdr:rowOff>0</xdr:rowOff>
    </xdr:from>
    <xdr:ext cx="304800" cy="304800"/>
    <xdr:sp macro="" textlink="">
      <xdr:nvSpPr>
        <xdr:cNvPr id="3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A5538E6-7A0E-469A-BF82-22A35389CE92}"/>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80</xdr:row>
      <xdr:rowOff>0</xdr:rowOff>
    </xdr:from>
    <xdr:ext cx="304800" cy="304800"/>
    <xdr:sp macro="" textlink="">
      <xdr:nvSpPr>
        <xdr:cNvPr id="3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9B7C479-BDA9-4133-98A5-1D45BDC8D624}"/>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22</xdr:row>
      <xdr:rowOff>0</xdr:rowOff>
    </xdr:from>
    <xdr:ext cx="304800" cy="304800"/>
    <xdr:sp macro="" textlink="">
      <xdr:nvSpPr>
        <xdr:cNvPr id="3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9A7253A-3B83-4434-9DF0-BD01A26167AA}"/>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3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57AB2E1-77B9-4EE7-83BF-27CDD7A74938}"/>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xdr:row>
      <xdr:rowOff>0</xdr:rowOff>
    </xdr:from>
    <xdr:ext cx="304800" cy="304800"/>
    <xdr:sp macro="" textlink="">
      <xdr:nvSpPr>
        <xdr:cNvPr id="3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8CC4F66-183B-4BD7-8458-FDAB1845D87C}"/>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3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8B6779A-DB9D-467A-80C6-04FC587FEC7E}"/>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30</xdr:row>
      <xdr:rowOff>0</xdr:rowOff>
    </xdr:from>
    <xdr:ext cx="304800" cy="304800"/>
    <xdr:sp macro="" textlink="">
      <xdr:nvSpPr>
        <xdr:cNvPr id="3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C69164F-BEAE-4F6D-B9AC-27ADD7448FD9}"/>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3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32F3D28-C308-4B10-8B9B-4B76279BAFE5}"/>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3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2E32B56-E190-41C9-8043-9FFDB53B49F5}"/>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xdr:row>
      <xdr:rowOff>0</xdr:rowOff>
    </xdr:from>
    <xdr:ext cx="304800" cy="304800"/>
    <xdr:sp macro="" textlink="">
      <xdr:nvSpPr>
        <xdr:cNvPr id="3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A983633-BA0A-470A-9911-CC273FAC5FB0}"/>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33</xdr:row>
      <xdr:rowOff>0</xdr:rowOff>
    </xdr:from>
    <xdr:ext cx="304800" cy="304800"/>
    <xdr:sp macro="" textlink="">
      <xdr:nvSpPr>
        <xdr:cNvPr id="3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FCD7E45-A43B-44B3-B9B9-6DDF8C159037}"/>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3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BF0DAAF-E8C0-4BCF-B880-CF3C7528B671}"/>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44</xdr:row>
      <xdr:rowOff>0</xdr:rowOff>
    </xdr:from>
    <xdr:ext cx="304800" cy="304800"/>
    <xdr:sp macro="" textlink="">
      <xdr:nvSpPr>
        <xdr:cNvPr id="3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FCA58A8-0587-44CB-81BD-B207A64BF2E8}"/>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45</xdr:row>
      <xdr:rowOff>0</xdr:rowOff>
    </xdr:from>
    <xdr:ext cx="304800" cy="304800"/>
    <xdr:sp macro="" textlink="">
      <xdr:nvSpPr>
        <xdr:cNvPr id="3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6C08E52-56A4-4B5A-A878-F7785A04598B}"/>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3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A7BB325-76BC-46DC-964C-46B430B29DF8}"/>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3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C24C7CF-FC8A-4880-9E14-D4FC0780AE64}"/>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3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9D0E65E-FBB6-4230-82FD-C42E1C86CC0E}"/>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xdr:row>
      <xdr:rowOff>0</xdr:rowOff>
    </xdr:from>
    <xdr:ext cx="304800" cy="304800"/>
    <xdr:sp macro="" textlink="">
      <xdr:nvSpPr>
        <xdr:cNvPr id="3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54EC236-24DA-4DA6-8BF5-E120BE4179A1}"/>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39</xdr:row>
      <xdr:rowOff>0</xdr:rowOff>
    </xdr:from>
    <xdr:ext cx="304800" cy="304800"/>
    <xdr:sp macro="" textlink="">
      <xdr:nvSpPr>
        <xdr:cNvPr id="3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90239E8-169F-4AA0-BCED-1D3F309D49C4}"/>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39</xdr:row>
      <xdr:rowOff>0</xdr:rowOff>
    </xdr:from>
    <xdr:ext cx="304800" cy="304800"/>
    <xdr:sp macro="" textlink="">
      <xdr:nvSpPr>
        <xdr:cNvPr id="3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3FE5839-5AF6-41ED-8F87-5BD667F50D85}"/>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39</xdr:row>
      <xdr:rowOff>0</xdr:rowOff>
    </xdr:from>
    <xdr:ext cx="304800" cy="304800"/>
    <xdr:sp macro="" textlink="">
      <xdr:nvSpPr>
        <xdr:cNvPr id="3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B652D32-A0DF-459B-83A2-E599DDBD2AC8}"/>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3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1ACBBCD-B639-475B-B618-005E0D438F0F}"/>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44</xdr:row>
      <xdr:rowOff>0</xdr:rowOff>
    </xdr:from>
    <xdr:ext cx="304800" cy="304800"/>
    <xdr:sp macro="" textlink="">
      <xdr:nvSpPr>
        <xdr:cNvPr id="3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316F211-9EC2-47D0-BAE1-DB17667CA513}"/>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44</xdr:row>
      <xdr:rowOff>0</xdr:rowOff>
    </xdr:from>
    <xdr:ext cx="304800" cy="304800"/>
    <xdr:sp macro="" textlink="">
      <xdr:nvSpPr>
        <xdr:cNvPr id="3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918EBAC-FD27-4CD2-8AE6-C576677D055F}"/>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18</xdr:row>
      <xdr:rowOff>0</xdr:rowOff>
    </xdr:from>
    <xdr:ext cx="304800" cy="304800"/>
    <xdr:sp macro="" textlink="">
      <xdr:nvSpPr>
        <xdr:cNvPr id="3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7FB54F2-4443-4C5C-95A3-3B822A9CF169}"/>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xdr:row>
      <xdr:rowOff>0</xdr:rowOff>
    </xdr:from>
    <xdr:ext cx="304800" cy="304800"/>
    <xdr:sp macro="" textlink="">
      <xdr:nvSpPr>
        <xdr:cNvPr id="3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6C8F21F-3D9D-4EC5-88D2-BA9B18302C9C}"/>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83</xdr:row>
      <xdr:rowOff>0</xdr:rowOff>
    </xdr:from>
    <xdr:ext cx="304800" cy="304800"/>
    <xdr:sp macro="" textlink="">
      <xdr:nvSpPr>
        <xdr:cNvPr id="3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7EC3CE7-B199-4079-BF4F-399F55ADBC9A}"/>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83</xdr:row>
      <xdr:rowOff>0</xdr:rowOff>
    </xdr:from>
    <xdr:ext cx="304800" cy="304800"/>
    <xdr:sp macro="" textlink="">
      <xdr:nvSpPr>
        <xdr:cNvPr id="3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2D8463E-50FA-4840-8D8D-8FC3B3BCED5D}"/>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84</xdr:row>
      <xdr:rowOff>0</xdr:rowOff>
    </xdr:from>
    <xdr:ext cx="304800" cy="304800"/>
    <xdr:sp macro="" textlink="">
      <xdr:nvSpPr>
        <xdr:cNvPr id="3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70404C2-AF57-4719-B57D-CE828C6620AA}"/>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84</xdr:row>
      <xdr:rowOff>0</xdr:rowOff>
    </xdr:from>
    <xdr:ext cx="304800" cy="304800"/>
    <xdr:sp macro="" textlink="">
      <xdr:nvSpPr>
        <xdr:cNvPr id="3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F1D2647-5463-48CB-9726-A398E81A86DB}"/>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3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EC9E9E4-7E31-465C-8982-ADA1A87A47BC}"/>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3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5118A1A-FDC5-4990-A341-9C2BD1F46661}"/>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3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89C8497-5297-40B5-9F98-E5258009B11E}"/>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3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6968D60-A141-410D-B100-43E74F22CBBF}"/>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3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F66882C-32C0-49D5-AECA-483DB0F9EE40}"/>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3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D8B673A-21F7-4663-B457-6E6FB008B427}"/>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3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A7A99EB-0279-4AA7-85B2-F24FE2D79959}"/>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3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389A293-6592-416D-BBBF-CC4168B42306}"/>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3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C69A359-BBED-4996-8A73-AA93F2FC82C7}"/>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3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0CB7051-6876-438A-A0FE-45BBA9F5CD9A}"/>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3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1042B9E-A891-4E56-87A0-33888AF40016}"/>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3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DAFB064-8289-479B-801E-DAAEDDCA8CAF}"/>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3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CAAA406-DF94-434F-B0B3-ACC4E110B684}"/>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3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7274178-615D-4285-AEFF-F1043D7A2014}"/>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3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E6AA7DB-B11D-4826-9F0E-5C6001C6D42E}"/>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3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4FA4F6D-58F6-4E26-BDB5-035FDF494D1D}"/>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3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E152D62-8D34-42E5-A748-FFD79D29A90F}"/>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3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AB4FC7B-7FFF-4267-B4C6-56728136A90F}"/>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3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F41787E-0193-44FA-B590-4D1B853A57B3}"/>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3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FFB5C87-CD17-48DD-80C7-7685EF1B6759}"/>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3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E5384A9-CDC5-4374-A094-C141EA500073}"/>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3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3BFD570-20CA-44DB-9C88-50ED59286ABC}"/>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3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1A22EDA-F339-44E2-80AF-9466DF1F9020}"/>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3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18A7C3F-FE07-4857-BFD8-795C7AD02C29}"/>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3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02E224C-CBB3-49CC-A217-1A89C6B93D31}"/>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3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B7FBF9C-4230-4518-91E8-D7AFC3FA842E}"/>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F7F3A61-86E2-412D-9C50-8976EE62A560}"/>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68BF06C-AB35-4FD9-B05F-5A1E58B12B26}"/>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3D2B319-E1D3-44EA-A41B-CB735BB64DDC}"/>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0AD8F77-5B70-4498-BE54-C7397D8B8255}"/>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CAEFD71-3369-4670-B00E-FCE6EBA3117D}"/>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9830918-2E4A-4161-BBE2-1702A21A7576}"/>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78EC916-F9BF-4DD4-9303-E966E7E677CE}"/>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1131094</xdr:rowOff>
    </xdr:from>
    <xdr:ext cx="304800" cy="304800"/>
    <xdr:sp macro="" textlink="">
      <xdr:nvSpPr>
        <xdr:cNvPr id="4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83A7615-744F-4959-B711-C239AAC427C4}"/>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88</xdr:row>
      <xdr:rowOff>0</xdr:rowOff>
    </xdr:from>
    <xdr:ext cx="304800" cy="304800"/>
    <xdr:sp macro="" textlink="">
      <xdr:nvSpPr>
        <xdr:cNvPr id="4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B809E2A-86F7-494D-A7D5-7E12D30EED3C}"/>
            </a:ext>
            <a:ext uri="{147F2762-F138-4A5C-976F-8EAC2B608ADB}">
              <a16:predDERef xmlns:a16="http://schemas.microsoft.com/office/drawing/2014/main" pred="{8B5E25CD-98BA-4C16-9B2B-018711E8616A}"/>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88</xdr:row>
      <xdr:rowOff>0</xdr:rowOff>
    </xdr:from>
    <xdr:ext cx="304800" cy="304800"/>
    <xdr:sp macro="" textlink="">
      <xdr:nvSpPr>
        <xdr:cNvPr id="4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1684EC6-13B9-46EF-ABA1-91C0B986F739}"/>
            </a:ext>
            <a:ext uri="{147F2762-F138-4A5C-976F-8EAC2B608ADB}">
              <a16:predDERef xmlns:a16="http://schemas.microsoft.com/office/drawing/2014/main" pred="{74C66898-31DD-4337-83AE-5F469A7FF7E4}"/>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88</xdr:row>
      <xdr:rowOff>0</xdr:rowOff>
    </xdr:from>
    <xdr:ext cx="304800" cy="304800"/>
    <xdr:sp macro="" textlink="">
      <xdr:nvSpPr>
        <xdr:cNvPr id="4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71F9327-E50A-4945-83A4-641D5C77EE4D}"/>
            </a:ext>
            <a:ext uri="{147F2762-F138-4A5C-976F-8EAC2B608ADB}">
              <a16:predDERef xmlns:a16="http://schemas.microsoft.com/office/drawing/2014/main" pred="{54A87838-0C13-4A38-84FC-C33FC8A7D723}"/>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xdr:row>
      <xdr:rowOff>0</xdr:rowOff>
    </xdr:from>
    <xdr:ext cx="304800" cy="304800"/>
    <xdr:sp macro="" textlink="">
      <xdr:nvSpPr>
        <xdr:cNvPr id="4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CF15F6E-2994-4E84-9174-5B0A7A4A9FBA}"/>
            </a:ext>
          </a:extLst>
        </xdr:cNvPr>
        <xdr:cNvSpPr>
          <a:spLocks noChangeAspect="1" noChangeArrowheads="1"/>
        </xdr:cNvSpPr>
      </xdr:nvSpPr>
      <xdr:spPr bwMode="auto">
        <a:xfrm>
          <a:off x="17040225"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xdr:row>
      <xdr:rowOff>0</xdr:rowOff>
    </xdr:from>
    <xdr:ext cx="304800" cy="304800"/>
    <xdr:sp macro="" textlink="">
      <xdr:nvSpPr>
        <xdr:cNvPr id="4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B49A469-0715-4CE0-BA32-A0F9119AFBCC}"/>
            </a:ext>
          </a:extLst>
        </xdr:cNvPr>
        <xdr:cNvSpPr>
          <a:spLocks noChangeAspect="1" noChangeArrowheads="1"/>
        </xdr:cNvSpPr>
      </xdr:nvSpPr>
      <xdr:spPr bwMode="auto">
        <a:xfrm>
          <a:off x="17040225"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xdr:row>
      <xdr:rowOff>0</xdr:rowOff>
    </xdr:from>
    <xdr:ext cx="304800" cy="304800"/>
    <xdr:sp macro="" textlink="">
      <xdr:nvSpPr>
        <xdr:cNvPr id="4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2D344D1-0506-4B68-AACA-80C45F624AF3}"/>
            </a:ext>
          </a:extLst>
        </xdr:cNvPr>
        <xdr:cNvSpPr>
          <a:spLocks noChangeAspect="1" noChangeArrowheads="1"/>
        </xdr:cNvSpPr>
      </xdr:nvSpPr>
      <xdr:spPr bwMode="auto">
        <a:xfrm>
          <a:off x="17040225"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xdr:row>
      <xdr:rowOff>0</xdr:rowOff>
    </xdr:from>
    <xdr:ext cx="304800" cy="304800"/>
    <xdr:sp macro="" textlink="">
      <xdr:nvSpPr>
        <xdr:cNvPr id="4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AC3D40B-EBF4-4895-B611-95784AD6F846}"/>
            </a:ext>
          </a:extLst>
        </xdr:cNvPr>
        <xdr:cNvSpPr>
          <a:spLocks noChangeAspect="1" noChangeArrowheads="1"/>
        </xdr:cNvSpPr>
      </xdr:nvSpPr>
      <xdr:spPr bwMode="auto">
        <a:xfrm>
          <a:off x="17040225"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xdr:row>
      <xdr:rowOff>0</xdr:rowOff>
    </xdr:from>
    <xdr:ext cx="304800" cy="304800"/>
    <xdr:sp macro="" textlink="">
      <xdr:nvSpPr>
        <xdr:cNvPr id="4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FFB1FED-A29D-4740-8C7F-0CE2DEF5A617}"/>
            </a:ext>
          </a:extLst>
        </xdr:cNvPr>
        <xdr:cNvSpPr>
          <a:spLocks noChangeAspect="1" noChangeArrowheads="1"/>
        </xdr:cNvSpPr>
      </xdr:nvSpPr>
      <xdr:spPr bwMode="auto">
        <a:xfrm>
          <a:off x="17040225"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xdr:row>
      <xdr:rowOff>0</xdr:rowOff>
    </xdr:from>
    <xdr:ext cx="304800" cy="304800"/>
    <xdr:sp macro="" textlink="">
      <xdr:nvSpPr>
        <xdr:cNvPr id="4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85F3662-83D7-444A-B441-FE0DE2554085}"/>
            </a:ext>
          </a:extLst>
        </xdr:cNvPr>
        <xdr:cNvSpPr>
          <a:spLocks noChangeAspect="1" noChangeArrowheads="1"/>
        </xdr:cNvSpPr>
      </xdr:nvSpPr>
      <xdr:spPr bwMode="auto">
        <a:xfrm>
          <a:off x="17040225"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xdr:row>
      <xdr:rowOff>0</xdr:rowOff>
    </xdr:from>
    <xdr:ext cx="304800" cy="304800"/>
    <xdr:sp macro="" textlink="">
      <xdr:nvSpPr>
        <xdr:cNvPr id="4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F9B0FFB-6515-494E-9ED3-1742358C0946}"/>
            </a:ext>
          </a:extLst>
        </xdr:cNvPr>
        <xdr:cNvSpPr>
          <a:spLocks noChangeAspect="1" noChangeArrowheads="1"/>
        </xdr:cNvSpPr>
      </xdr:nvSpPr>
      <xdr:spPr bwMode="auto">
        <a:xfrm>
          <a:off x="17040225"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xdr:row>
      <xdr:rowOff>0</xdr:rowOff>
    </xdr:from>
    <xdr:ext cx="304800" cy="304800"/>
    <xdr:sp macro="" textlink="">
      <xdr:nvSpPr>
        <xdr:cNvPr id="4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CEA9F81-4ACA-4DF1-B14C-343BDBE68B7E}"/>
            </a:ext>
          </a:extLst>
        </xdr:cNvPr>
        <xdr:cNvSpPr>
          <a:spLocks noChangeAspect="1" noChangeArrowheads="1"/>
        </xdr:cNvSpPr>
      </xdr:nvSpPr>
      <xdr:spPr bwMode="auto">
        <a:xfrm>
          <a:off x="17040225"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xdr:row>
      <xdr:rowOff>0</xdr:rowOff>
    </xdr:from>
    <xdr:ext cx="304800" cy="304800"/>
    <xdr:sp macro="" textlink="">
      <xdr:nvSpPr>
        <xdr:cNvPr id="4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6367539-8EA9-4A71-AF60-2CF539F59967}"/>
            </a:ext>
          </a:extLst>
        </xdr:cNvPr>
        <xdr:cNvSpPr>
          <a:spLocks noChangeAspect="1" noChangeArrowheads="1"/>
        </xdr:cNvSpPr>
      </xdr:nvSpPr>
      <xdr:spPr bwMode="auto">
        <a:xfrm>
          <a:off x="17040225"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xdr:row>
      <xdr:rowOff>0</xdr:rowOff>
    </xdr:from>
    <xdr:ext cx="304800" cy="304800"/>
    <xdr:sp macro="" textlink="">
      <xdr:nvSpPr>
        <xdr:cNvPr id="4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53164BA-9C30-471C-A8A8-78F92C93611C}"/>
            </a:ext>
          </a:extLst>
        </xdr:cNvPr>
        <xdr:cNvSpPr>
          <a:spLocks noChangeAspect="1" noChangeArrowheads="1"/>
        </xdr:cNvSpPr>
      </xdr:nvSpPr>
      <xdr:spPr bwMode="auto">
        <a:xfrm>
          <a:off x="17040225"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xdr:row>
      <xdr:rowOff>0</xdr:rowOff>
    </xdr:from>
    <xdr:ext cx="304800" cy="304800"/>
    <xdr:sp macro="" textlink="">
      <xdr:nvSpPr>
        <xdr:cNvPr id="4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10EBDDD-D844-4C0F-BF8E-561F166E3538}"/>
            </a:ext>
          </a:extLst>
        </xdr:cNvPr>
        <xdr:cNvSpPr>
          <a:spLocks noChangeAspect="1" noChangeArrowheads="1"/>
        </xdr:cNvSpPr>
      </xdr:nvSpPr>
      <xdr:spPr bwMode="auto">
        <a:xfrm>
          <a:off x="17040225"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xdr:row>
      <xdr:rowOff>0</xdr:rowOff>
    </xdr:from>
    <xdr:ext cx="304800" cy="304800"/>
    <xdr:sp macro="" textlink="">
      <xdr:nvSpPr>
        <xdr:cNvPr id="4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9A7F261-CAE5-49D7-9F74-0EDE32A4089D}"/>
            </a:ext>
          </a:extLst>
        </xdr:cNvPr>
        <xdr:cNvSpPr>
          <a:spLocks noChangeAspect="1" noChangeArrowheads="1"/>
        </xdr:cNvSpPr>
      </xdr:nvSpPr>
      <xdr:spPr bwMode="auto">
        <a:xfrm>
          <a:off x="17040225"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xdr:row>
      <xdr:rowOff>0</xdr:rowOff>
    </xdr:from>
    <xdr:ext cx="304800" cy="304800"/>
    <xdr:sp macro="" textlink="">
      <xdr:nvSpPr>
        <xdr:cNvPr id="4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9974D0D-1470-4233-886A-EE449405B022}"/>
            </a:ext>
          </a:extLst>
        </xdr:cNvPr>
        <xdr:cNvSpPr>
          <a:spLocks noChangeAspect="1" noChangeArrowheads="1"/>
        </xdr:cNvSpPr>
      </xdr:nvSpPr>
      <xdr:spPr bwMode="auto">
        <a:xfrm>
          <a:off x="17040225"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xdr:row>
      <xdr:rowOff>0</xdr:rowOff>
    </xdr:from>
    <xdr:ext cx="304800" cy="304800"/>
    <xdr:sp macro="" textlink="">
      <xdr:nvSpPr>
        <xdr:cNvPr id="4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FC489BD-62B0-4F31-9522-D8ED017B2AAC}"/>
            </a:ext>
          </a:extLst>
        </xdr:cNvPr>
        <xdr:cNvSpPr>
          <a:spLocks noChangeAspect="1" noChangeArrowheads="1"/>
        </xdr:cNvSpPr>
      </xdr:nvSpPr>
      <xdr:spPr bwMode="auto">
        <a:xfrm>
          <a:off x="17040225"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xdr:row>
      <xdr:rowOff>0</xdr:rowOff>
    </xdr:from>
    <xdr:ext cx="304800" cy="304800"/>
    <xdr:sp macro="" textlink="">
      <xdr:nvSpPr>
        <xdr:cNvPr id="4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CB1DB78-FFD7-4486-9F0B-39FC87D90B05}"/>
            </a:ext>
          </a:extLst>
        </xdr:cNvPr>
        <xdr:cNvSpPr>
          <a:spLocks noChangeAspect="1" noChangeArrowheads="1"/>
        </xdr:cNvSpPr>
      </xdr:nvSpPr>
      <xdr:spPr bwMode="auto">
        <a:xfrm>
          <a:off x="17040225"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xdr:row>
      <xdr:rowOff>0</xdr:rowOff>
    </xdr:from>
    <xdr:ext cx="304800" cy="304800"/>
    <xdr:sp macro="" textlink="">
      <xdr:nvSpPr>
        <xdr:cNvPr id="4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2E310A2-BFF8-4389-8064-E40AE43B3D84}"/>
            </a:ext>
          </a:extLst>
        </xdr:cNvPr>
        <xdr:cNvSpPr>
          <a:spLocks noChangeAspect="1" noChangeArrowheads="1"/>
        </xdr:cNvSpPr>
      </xdr:nvSpPr>
      <xdr:spPr bwMode="auto">
        <a:xfrm>
          <a:off x="17040225"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4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E1DFFFC-2A0D-4346-AE5E-E3B987BC1694}"/>
            </a:ext>
          </a:extLst>
        </xdr:cNvPr>
        <xdr:cNvSpPr>
          <a:spLocks noChangeAspect="1" noChangeArrowheads="1"/>
        </xdr:cNvSpPr>
      </xdr:nvSpPr>
      <xdr:spPr bwMode="auto">
        <a:xfrm>
          <a:off x="17040225" y="456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4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BD70CB8-5DF5-4626-B828-E29EC00CFF41}"/>
            </a:ext>
          </a:extLst>
        </xdr:cNvPr>
        <xdr:cNvSpPr>
          <a:spLocks noChangeAspect="1" noChangeArrowheads="1"/>
        </xdr:cNvSpPr>
      </xdr:nvSpPr>
      <xdr:spPr bwMode="auto">
        <a:xfrm>
          <a:off x="17040225" y="456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4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27F116B-FA13-40F2-A22E-DADF0CEECA28}"/>
            </a:ext>
          </a:extLst>
        </xdr:cNvPr>
        <xdr:cNvSpPr>
          <a:spLocks noChangeAspect="1" noChangeArrowheads="1"/>
        </xdr:cNvSpPr>
      </xdr:nvSpPr>
      <xdr:spPr bwMode="auto">
        <a:xfrm>
          <a:off x="17040225" y="456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4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05E4086-C021-4AF7-948F-41523CA62F92}"/>
            </a:ext>
          </a:extLst>
        </xdr:cNvPr>
        <xdr:cNvSpPr>
          <a:spLocks noChangeAspect="1" noChangeArrowheads="1"/>
        </xdr:cNvSpPr>
      </xdr:nvSpPr>
      <xdr:spPr bwMode="auto">
        <a:xfrm>
          <a:off x="17040225" y="456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4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FDF7C76-FD8E-4D86-AFA3-285FE66994B3}"/>
            </a:ext>
          </a:extLst>
        </xdr:cNvPr>
        <xdr:cNvSpPr>
          <a:spLocks noChangeAspect="1" noChangeArrowheads="1"/>
        </xdr:cNvSpPr>
      </xdr:nvSpPr>
      <xdr:spPr bwMode="auto">
        <a:xfrm>
          <a:off x="17040225" y="456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4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2E71CA5-B5A4-49E8-B435-FA3678FF49B3}"/>
            </a:ext>
          </a:extLst>
        </xdr:cNvPr>
        <xdr:cNvSpPr>
          <a:spLocks noChangeAspect="1" noChangeArrowheads="1"/>
        </xdr:cNvSpPr>
      </xdr:nvSpPr>
      <xdr:spPr bwMode="auto">
        <a:xfrm>
          <a:off x="17040225" y="456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4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3BE13D3-8780-4320-B4F4-192B0A9BB9CE}"/>
            </a:ext>
          </a:extLst>
        </xdr:cNvPr>
        <xdr:cNvSpPr>
          <a:spLocks noChangeAspect="1" noChangeArrowheads="1"/>
        </xdr:cNvSpPr>
      </xdr:nvSpPr>
      <xdr:spPr bwMode="auto">
        <a:xfrm>
          <a:off x="17040225" y="456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4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CBEEB40-28BC-4771-8359-DDB52584346E}"/>
            </a:ext>
          </a:extLst>
        </xdr:cNvPr>
        <xdr:cNvSpPr>
          <a:spLocks noChangeAspect="1" noChangeArrowheads="1"/>
        </xdr:cNvSpPr>
      </xdr:nvSpPr>
      <xdr:spPr bwMode="auto">
        <a:xfrm>
          <a:off x="17040225" y="456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4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06B5B12-DFE9-4E54-A940-AF1176C209DB}"/>
            </a:ext>
          </a:extLst>
        </xdr:cNvPr>
        <xdr:cNvSpPr>
          <a:spLocks noChangeAspect="1" noChangeArrowheads="1"/>
        </xdr:cNvSpPr>
      </xdr:nvSpPr>
      <xdr:spPr bwMode="auto">
        <a:xfrm>
          <a:off x="17040225" y="456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4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F3A61D9-6EFC-406A-A5D2-E6D60B4E6AA8}"/>
            </a:ext>
          </a:extLst>
        </xdr:cNvPr>
        <xdr:cNvSpPr>
          <a:spLocks noChangeAspect="1" noChangeArrowheads="1"/>
        </xdr:cNvSpPr>
      </xdr:nvSpPr>
      <xdr:spPr bwMode="auto">
        <a:xfrm>
          <a:off x="17040225" y="456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4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E4947D5-DFBB-4A3F-8637-BEA8A27BA43A}"/>
            </a:ext>
          </a:extLst>
        </xdr:cNvPr>
        <xdr:cNvSpPr>
          <a:spLocks noChangeAspect="1" noChangeArrowheads="1"/>
        </xdr:cNvSpPr>
      </xdr:nvSpPr>
      <xdr:spPr bwMode="auto">
        <a:xfrm>
          <a:off x="17040225" y="456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4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3E741AD-8F0E-4190-927A-4C145ED639E4}"/>
            </a:ext>
          </a:extLst>
        </xdr:cNvPr>
        <xdr:cNvSpPr>
          <a:spLocks noChangeAspect="1" noChangeArrowheads="1"/>
        </xdr:cNvSpPr>
      </xdr:nvSpPr>
      <xdr:spPr bwMode="auto">
        <a:xfrm>
          <a:off x="17040225" y="456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4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4332F93-29F9-45AE-8A0E-CB260616F494}"/>
            </a:ext>
          </a:extLst>
        </xdr:cNvPr>
        <xdr:cNvSpPr>
          <a:spLocks noChangeAspect="1" noChangeArrowheads="1"/>
        </xdr:cNvSpPr>
      </xdr:nvSpPr>
      <xdr:spPr bwMode="auto">
        <a:xfrm>
          <a:off x="17040225" y="456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4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FC41794-F156-4CB7-A248-9DFD6311AA9E}"/>
            </a:ext>
          </a:extLst>
        </xdr:cNvPr>
        <xdr:cNvSpPr>
          <a:spLocks noChangeAspect="1" noChangeArrowheads="1"/>
        </xdr:cNvSpPr>
      </xdr:nvSpPr>
      <xdr:spPr bwMode="auto">
        <a:xfrm>
          <a:off x="17040225" y="456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4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ABACC57-7E9B-4BB4-9999-48E9BF01569E}"/>
            </a:ext>
          </a:extLst>
        </xdr:cNvPr>
        <xdr:cNvSpPr>
          <a:spLocks noChangeAspect="1" noChangeArrowheads="1"/>
        </xdr:cNvSpPr>
      </xdr:nvSpPr>
      <xdr:spPr bwMode="auto">
        <a:xfrm>
          <a:off x="17040225" y="456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4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D7C5128-2AE7-45C7-ACF1-F5AA87C3BDB3}"/>
            </a:ext>
          </a:extLst>
        </xdr:cNvPr>
        <xdr:cNvSpPr>
          <a:spLocks noChangeAspect="1" noChangeArrowheads="1"/>
        </xdr:cNvSpPr>
      </xdr:nvSpPr>
      <xdr:spPr bwMode="auto">
        <a:xfrm>
          <a:off x="17040225" y="456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5FE439D-A50A-4E27-B210-7563DF015F80}"/>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EA0316B-B915-4436-BAA3-291664245F51}"/>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C70AD5E-8E74-479C-A178-C35AA6B6EFDB}"/>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C67B30D-4253-4506-AC8E-80F63F6260D6}"/>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CEAAB64-0B4C-420C-B840-6B64CDB9FD26}"/>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D5DFA25-5317-4E07-A967-3B552167BB79}"/>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A6B2E42-EDCD-49E9-8A2F-EF91CB193C07}"/>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88F8BE3-56E1-460E-BD67-A1389531153B}"/>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C15CA9B-982C-4C4E-8550-229564723217}"/>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2ED591B-83E9-4003-8A35-3BC8EB18D4C9}"/>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CD1C689-3167-489A-931D-051796B8EE24}"/>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078B77A-A73B-457D-B527-F7649F34FCB4}"/>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C6AC834-598C-4C94-A58D-A3A419CD7862}"/>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B5ECA88-9D64-4CD2-BB40-A75F660B02D8}"/>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D61BF0D-4F58-4864-B0A7-B038FC02A904}"/>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88883A9-AB12-4D2E-B623-03F75C2A5005}"/>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C54F773-0A32-4651-AC38-F4C0408888A9}"/>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786B7B4-B58B-4079-ADB1-0F29DAC472D8}"/>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6A41017-CD0F-497D-A12B-3F70E0224525}"/>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5B84959-8333-4870-A8D3-89A13BEDB6AE}"/>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CEC73E7-B565-46D4-8190-6EC21FAC8CF2}"/>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454A801-D8B2-4E71-9AFB-5B8350C4AA0A}"/>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BA54C74-CC22-400E-92D4-FCA306F1A0F5}"/>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63C1B5F-7D85-4711-94B7-673D68D42C8B}"/>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4559C84-A361-4B27-A8F4-637051362ED5}"/>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1EE4B85-D284-43C5-AE1C-8D40BDC70029}"/>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C24AB47-ECA9-4AA8-AB19-6744903F77F7}"/>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93ACFB4-64D1-4885-BC1E-D7BA060C7204}"/>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26D00E-65F8-4AF6-9846-0395DA984ED2}"/>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0DBF8B5-0271-44CD-8D0D-CB014CAD20C9}"/>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4636CB0-3A94-41FC-80CC-34BC957B674C}"/>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9355D56-AE3D-4827-B136-64EC3DFBE07D}"/>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1124A81-6ED9-45BD-950A-89DADF3E90A7}"/>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690ECDD-F6A4-4E90-B7E9-3126D0FD57D4}"/>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8C5EAB6-ED16-4ED6-B40D-E8D81555818E}"/>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2B2A24A-9310-460B-95A4-51D04DF1EC38}"/>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E90A559-A32E-4F4C-AD3F-6DB5FF4182C2}"/>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A07BA42-00AB-4815-A60C-C6C8CD9676FF}"/>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5DAE88A-F23F-4659-9915-ED2AFCDFB80D}"/>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E7DA874-DBC1-4E41-8CD9-A5B2EC1774B5}"/>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65AB61B-AD45-465D-A1C3-412BD10D3211}"/>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E05E16F-750A-4936-9A1F-9D3BC4F4A386}"/>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9F18116-4F23-4071-83D2-F4A7FAE6F764}"/>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88A5A28-2F3B-4B35-B349-B5B0EF4C0BA0}"/>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CC7942D-70FA-4A83-A449-710D11BE1FAE}"/>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598E405-7B51-449D-B7F5-1C6F1AEA4D94}"/>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1EE7A1F-DA8C-48A5-BCF1-39F8D1419E16}"/>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42EF68F-957D-4286-813E-A36458585590}"/>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E399300-BC9C-4E4F-A273-A4D06E4FC228}"/>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B15BB4B-84DC-43C2-A258-6FB329591032}"/>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7A7F334-335E-4D2D-AA59-A48E8B304868}"/>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7C85A13-EB5A-49BD-9383-001E31D1F676}"/>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33CFD03-6CDF-4C10-AFB3-C23221832C5B}"/>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4E73FED-478A-4534-8C0B-E69B58EFF3F0}"/>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DF28C88-E796-426E-883B-C9CFC7CFC99B}"/>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3676D22-7856-473A-B500-9B50C55AB612}"/>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E536606-FD19-4FAA-8FF4-EF48BB4A4FD8}"/>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5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CF3796C-42BE-4E5B-8D12-6DE329A6C569}"/>
            </a:ext>
          </a:extLst>
        </xdr:cNvPr>
        <xdr:cNvSpPr>
          <a:spLocks noChangeAspect="1" noChangeArrowheads="1"/>
        </xdr:cNvSpPr>
      </xdr:nvSpPr>
      <xdr:spPr bwMode="auto">
        <a:xfrm>
          <a:off x="1704022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5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F49F070-2D3B-48C6-8FD0-C1039D1B12B1}"/>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5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E501E84-D1F6-48EC-AB96-BF811A7BDA25}"/>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5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2329AB2-6997-4B89-A969-E557C92D1BE5}"/>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5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B3961CE-8E45-481A-916E-86E37E30750C}"/>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5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4FF6C3E-01F6-4D71-A17E-D852A1DD0618}"/>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5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814E06F-DF2C-4C64-8D2E-3FF4CF4F4A20}"/>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5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2EAF451-5D2A-4999-8219-3F94F9CE76B7}"/>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5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F747790-9F3B-4592-A2D9-45703FB807CC}"/>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5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606A3CD-C1BE-474F-8836-D771D895D925}"/>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5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11142CF-1A63-410C-BEE2-A29E55F8F464}"/>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5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3DD4A3D-3198-4AE9-BD29-9422206FE4E3}"/>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5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0080742-3239-495D-A6CB-11D7BD5C36F8}"/>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5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5EFE10B-DA60-4149-814E-DC344BC6E1D6}"/>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5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5DDBDA2-5CDF-4DD9-B206-39CBAB647AD9}"/>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5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C8F4FCE-E342-49A2-8081-570B7FB47795}"/>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5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53BC5EB-BCD9-497F-A7D4-BF332875A3AB}"/>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5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13CF782-984C-4A3C-8AEA-AFA17DFA1930}"/>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5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393556C-6FBF-488F-8EEE-14C59D9A30BF}"/>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5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272D10A-BFF7-4432-8C38-7F1C9577E50F}"/>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5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4EBB3FA-7029-4A57-9428-A4D915BD34F8}"/>
            </a:ext>
          </a:extLst>
        </xdr:cNvPr>
        <xdr:cNvSpPr>
          <a:spLocks noChangeAspect="1" noChangeArrowheads="1"/>
        </xdr:cNvSpPr>
      </xdr:nvSpPr>
      <xdr:spPr bwMode="auto">
        <a:xfrm>
          <a:off x="17040225" y="574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89</xdr:row>
      <xdr:rowOff>0</xdr:rowOff>
    </xdr:from>
    <xdr:ext cx="304800" cy="304800"/>
    <xdr:sp macro="" textlink="">
      <xdr:nvSpPr>
        <xdr:cNvPr id="5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383AA70-D56A-4E40-A14F-6CF90FFA750A}"/>
            </a:ext>
            <a:ext uri="{147F2762-F138-4A5C-976F-8EAC2B608ADB}">
              <a16:predDERef xmlns:a16="http://schemas.microsoft.com/office/drawing/2014/main" pred="{D04C5287-3417-4EE0-BB7A-7F91324EF1E4}"/>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89</xdr:row>
      <xdr:rowOff>0</xdr:rowOff>
    </xdr:from>
    <xdr:ext cx="304800" cy="304800"/>
    <xdr:sp macro="" textlink="">
      <xdr:nvSpPr>
        <xdr:cNvPr id="5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87E9FBE-1DFD-45FB-BD00-A722DC5783C9}"/>
            </a:ext>
            <a:ext uri="{147F2762-F138-4A5C-976F-8EAC2B608ADB}">
              <a16:predDERef xmlns:a16="http://schemas.microsoft.com/office/drawing/2014/main" pred="{A1D5EF54-6298-4355-A9E2-B95C638115E7}"/>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89</xdr:row>
      <xdr:rowOff>0</xdr:rowOff>
    </xdr:from>
    <xdr:ext cx="304800" cy="304800"/>
    <xdr:sp macro="" textlink="">
      <xdr:nvSpPr>
        <xdr:cNvPr id="5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FD726D7-81A4-4369-A4C0-8802A344ED60}"/>
            </a:ext>
            <a:ext uri="{147F2762-F138-4A5C-976F-8EAC2B608ADB}">
              <a16:predDERef xmlns:a16="http://schemas.microsoft.com/office/drawing/2014/main" pred="{78937B75-1E66-4CF7-B548-E65CF8A9624C}"/>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90</xdr:row>
      <xdr:rowOff>0</xdr:rowOff>
    </xdr:from>
    <xdr:ext cx="304800" cy="304800"/>
    <xdr:sp macro="" textlink="">
      <xdr:nvSpPr>
        <xdr:cNvPr id="5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50CACA7-9FF9-414D-925E-1A94771E7276}"/>
            </a:ext>
            <a:ext uri="{147F2762-F138-4A5C-976F-8EAC2B608ADB}">
              <a16:predDERef xmlns:a16="http://schemas.microsoft.com/office/drawing/2014/main" pred="{33B1459B-8B62-4B90-85B5-60E2E5CD7527}"/>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90</xdr:row>
      <xdr:rowOff>0</xdr:rowOff>
    </xdr:from>
    <xdr:ext cx="304800" cy="304800"/>
    <xdr:sp macro="" textlink="">
      <xdr:nvSpPr>
        <xdr:cNvPr id="5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95FC054-23EF-46DA-BD0A-CC1E8A5583B7}"/>
            </a:ext>
            <a:ext uri="{147F2762-F138-4A5C-976F-8EAC2B608ADB}">
              <a16:predDERef xmlns:a16="http://schemas.microsoft.com/office/drawing/2014/main" pred="{65850B60-6D3E-4D77-99C2-9E33E27C8C5B}"/>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90</xdr:row>
      <xdr:rowOff>0</xdr:rowOff>
    </xdr:from>
    <xdr:ext cx="304800" cy="304800"/>
    <xdr:sp macro="" textlink="">
      <xdr:nvSpPr>
        <xdr:cNvPr id="5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AE1AF4A-B334-4A01-B623-C76A902AA436}"/>
            </a:ext>
            <a:ext uri="{147F2762-F138-4A5C-976F-8EAC2B608ADB}">
              <a16:predDERef xmlns:a16="http://schemas.microsoft.com/office/drawing/2014/main" pred="{AB5C97BD-02F7-4DC8-8B6B-6810B77CF570}"/>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88</xdr:row>
      <xdr:rowOff>0</xdr:rowOff>
    </xdr:from>
    <xdr:ext cx="304800" cy="304800"/>
    <xdr:sp macro="" textlink="">
      <xdr:nvSpPr>
        <xdr:cNvPr id="5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22835BE-F38A-49A5-9964-C34755B053D1}"/>
            </a:ext>
            <a:ext uri="{147F2762-F138-4A5C-976F-8EAC2B608ADB}">
              <a16:predDERef xmlns:a16="http://schemas.microsoft.com/office/drawing/2014/main" pred="{63F94B6B-D8E9-4BE4-B8A9-3B22B5CFBBB1}"/>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88</xdr:row>
      <xdr:rowOff>0</xdr:rowOff>
    </xdr:from>
    <xdr:ext cx="304800" cy="304800"/>
    <xdr:sp macro="" textlink="">
      <xdr:nvSpPr>
        <xdr:cNvPr id="5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0A54F4B-885D-46B4-A326-34776D181740}"/>
            </a:ext>
            <a:ext uri="{147F2762-F138-4A5C-976F-8EAC2B608ADB}">
              <a16:predDERef xmlns:a16="http://schemas.microsoft.com/office/drawing/2014/main" pred="{9F284539-FC5F-4781-8DD8-6839A12A2A1D}"/>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88</xdr:row>
      <xdr:rowOff>0</xdr:rowOff>
    </xdr:from>
    <xdr:ext cx="304800" cy="304800"/>
    <xdr:sp macro="" textlink="">
      <xdr:nvSpPr>
        <xdr:cNvPr id="5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3525A43-BA8E-46B2-95CE-4A0FF82CA410}"/>
            </a:ext>
            <a:ext uri="{147F2762-F138-4A5C-976F-8EAC2B608ADB}">
              <a16:predDERef xmlns:a16="http://schemas.microsoft.com/office/drawing/2014/main" pred="{87620BA7-3B52-4AF2-BD2A-0537E4A8ED7C}"/>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91</xdr:row>
      <xdr:rowOff>0</xdr:rowOff>
    </xdr:from>
    <xdr:ext cx="304800" cy="304800"/>
    <xdr:sp macro="" textlink="">
      <xdr:nvSpPr>
        <xdr:cNvPr id="5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3CA78D2-E184-4206-862B-C89727F4DE13}"/>
            </a:ext>
            <a:ext uri="{147F2762-F138-4A5C-976F-8EAC2B608ADB}">
              <a16:predDERef xmlns:a16="http://schemas.microsoft.com/office/drawing/2014/main" pred="{33399EE3-6A2D-4353-8C0C-DB34B8709845}"/>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91</xdr:row>
      <xdr:rowOff>0</xdr:rowOff>
    </xdr:from>
    <xdr:ext cx="304800" cy="304800"/>
    <xdr:sp macro="" textlink="">
      <xdr:nvSpPr>
        <xdr:cNvPr id="5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DB96D13-D003-43DC-AB33-57F1FA9A08E3}"/>
            </a:ext>
            <a:ext uri="{147F2762-F138-4A5C-976F-8EAC2B608ADB}">
              <a16:predDERef xmlns:a16="http://schemas.microsoft.com/office/drawing/2014/main" pred="{54DBE37F-AD2E-4F3F-B8BF-B60CE4FE734B}"/>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91</xdr:row>
      <xdr:rowOff>0</xdr:rowOff>
    </xdr:from>
    <xdr:ext cx="304800" cy="304800"/>
    <xdr:sp macro="" textlink="">
      <xdr:nvSpPr>
        <xdr:cNvPr id="5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24AEB9C-DD22-43B9-861A-D25229985B1F}"/>
            </a:ext>
            <a:ext uri="{147F2762-F138-4A5C-976F-8EAC2B608ADB}">
              <a16:predDERef xmlns:a16="http://schemas.microsoft.com/office/drawing/2014/main" pred="{0FF010F6-3790-41D5-8938-E4763919D199}"/>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92</xdr:row>
      <xdr:rowOff>0</xdr:rowOff>
    </xdr:from>
    <xdr:ext cx="304800" cy="304800"/>
    <xdr:sp macro="" textlink="">
      <xdr:nvSpPr>
        <xdr:cNvPr id="5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F6E78DE-5616-4A12-B5DA-72F38A859808}"/>
            </a:ext>
            <a:ext uri="{147F2762-F138-4A5C-976F-8EAC2B608ADB}">
              <a16:predDERef xmlns:a16="http://schemas.microsoft.com/office/drawing/2014/main" pred="{3FF611DE-D4D7-42E5-961A-75D178A83184}"/>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92</xdr:row>
      <xdr:rowOff>0</xdr:rowOff>
    </xdr:from>
    <xdr:ext cx="304800" cy="304800"/>
    <xdr:sp macro="" textlink="">
      <xdr:nvSpPr>
        <xdr:cNvPr id="5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9BD8931-D191-4623-BA8D-19C21274D1FF}"/>
            </a:ext>
            <a:ext uri="{147F2762-F138-4A5C-976F-8EAC2B608ADB}">
              <a16:predDERef xmlns:a16="http://schemas.microsoft.com/office/drawing/2014/main" pred="{E3259508-59F6-483F-B5ED-781FD4C6330C}"/>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92</xdr:row>
      <xdr:rowOff>0</xdr:rowOff>
    </xdr:from>
    <xdr:ext cx="304800" cy="304800"/>
    <xdr:sp macro="" textlink="">
      <xdr:nvSpPr>
        <xdr:cNvPr id="5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731E078-7D99-4DE0-8975-5F27123D7799}"/>
            </a:ext>
            <a:ext uri="{147F2762-F138-4A5C-976F-8EAC2B608ADB}">
              <a16:predDERef xmlns:a16="http://schemas.microsoft.com/office/drawing/2014/main" pred="{1CD08D28-F305-4B61-8C32-1AD66FD57C5F}"/>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90</xdr:row>
      <xdr:rowOff>0</xdr:rowOff>
    </xdr:from>
    <xdr:ext cx="304800" cy="304800"/>
    <xdr:sp macro="" textlink="">
      <xdr:nvSpPr>
        <xdr:cNvPr id="5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64C386F-40A7-4F20-B915-C788CBEC74B8}"/>
            </a:ext>
            <a:ext uri="{147F2762-F138-4A5C-976F-8EAC2B608ADB}">
              <a16:predDERef xmlns:a16="http://schemas.microsoft.com/office/drawing/2014/main" pred="{56FBB5F4-3884-4E10-BE1C-D4F1DCF5EC51}"/>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90</xdr:row>
      <xdr:rowOff>0</xdr:rowOff>
    </xdr:from>
    <xdr:ext cx="304800" cy="304800"/>
    <xdr:sp macro="" textlink="">
      <xdr:nvSpPr>
        <xdr:cNvPr id="5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24E8B92-F9DE-4265-A3FB-3257EB7B7A78}"/>
            </a:ext>
            <a:ext uri="{147F2762-F138-4A5C-976F-8EAC2B608ADB}">
              <a16:predDERef xmlns:a16="http://schemas.microsoft.com/office/drawing/2014/main" pred="{56075316-7B8D-49B5-9522-DC06DE38B928}"/>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90</xdr:row>
      <xdr:rowOff>0</xdr:rowOff>
    </xdr:from>
    <xdr:ext cx="304800" cy="304800"/>
    <xdr:sp macro="" textlink="">
      <xdr:nvSpPr>
        <xdr:cNvPr id="5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9AE8555-7F9A-44DF-AB05-2E8EC54404F4}"/>
            </a:ext>
            <a:ext uri="{147F2762-F138-4A5C-976F-8EAC2B608ADB}">
              <a16:predDERef xmlns:a16="http://schemas.microsoft.com/office/drawing/2014/main" pred="{2E9ED01C-640B-4F8F-AF3B-53E6116C40FB}"/>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91</xdr:row>
      <xdr:rowOff>0</xdr:rowOff>
    </xdr:from>
    <xdr:ext cx="304800" cy="304800"/>
    <xdr:sp macro="" textlink="">
      <xdr:nvSpPr>
        <xdr:cNvPr id="5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C66D408-913D-4861-9B1B-29F0D7C93545}"/>
            </a:ext>
            <a:ext uri="{147F2762-F138-4A5C-976F-8EAC2B608ADB}">
              <a16:predDERef xmlns:a16="http://schemas.microsoft.com/office/drawing/2014/main" pred="{649672BA-CABD-47CA-AFDE-FAF7A4B5922E}"/>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91</xdr:row>
      <xdr:rowOff>0</xdr:rowOff>
    </xdr:from>
    <xdr:ext cx="304800" cy="304800"/>
    <xdr:sp macro="" textlink="">
      <xdr:nvSpPr>
        <xdr:cNvPr id="5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7F1FAA3-E964-440B-9CA6-6ADB98100E20}"/>
            </a:ext>
            <a:ext uri="{147F2762-F138-4A5C-976F-8EAC2B608ADB}">
              <a16:predDERef xmlns:a16="http://schemas.microsoft.com/office/drawing/2014/main" pred="{FE69738E-2EE5-4C18-B462-B3DFCD6E74DE}"/>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91</xdr:row>
      <xdr:rowOff>0</xdr:rowOff>
    </xdr:from>
    <xdr:ext cx="304800" cy="304800"/>
    <xdr:sp macro="" textlink="">
      <xdr:nvSpPr>
        <xdr:cNvPr id="5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D853CA5-2F94-4B24-8608-9E7B9FE09F3D}"/>
            </a:ext>
            <a:ext uri="{147F2762-F138-4A5C-976F-8EAC2B608ADB}">
              <a16:predDERef xmlns:a16="http://schemas.microsoft.com/office/drawing/2014/main" pred="{5FB623B3-A92B-4C0C-AA23-0FC15110FD27}"/>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92</xdr:row>
      <xdr:rowOff>0</xdr:rowOff>
    </xdr:from>
    <xdr:ext cx="304800" cy="304800"/>
    <xdr:sp macro="" textlink="">
      <xdr:nvSpPr>
        <xdr:cNvPr id="5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E715689-15A1-4037-B838-123EE8EC50AC}"/>
            </a:ext>
            <a:ext uri="{147F2762-F138-4A5C-976F-8EAC2B608ADB}">
              <a16:predDERef xmlns:a16="http://schemas.microsoft.com/office/drawing/2014/main" pred="{C75F3E6D-3704-4191-9BCD-3725F461058A}"/>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92</xdr:row>
      <xdr:rowOff>0</xdr:rowOff>
    </xdr:from>
    <xdr:ext cx="304800" cy="304800"/>
    <xdr:sp macro="" textlink="">
      <xdr:nvSpPr>
        <xdr:cNvPr id="5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CB2D51A-1144-4585-9295-B70EAB780517}"/>
            </a:ext>
            <a:ext uri="{147F2762-F138-4A5C-976F-8EAC2B608ADB}">
              <a16:predDERef xmlns:a16="http://schemas.microsoft.com/office/drawing/2014/main" pred="{598EB200-BCEB-4FE1-AAC8-732B1A5C112C}"/>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92</xdr:row>
      <xdr:rowOff>0</xdr:rowOff>
    </xdr:from>
    <xdr:ext cx="304800" cy="304800"/>
    <xdr:sp macro="" textlink="">
      <xdr:nvSpPr>
        <xdr:cNvPr id="5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F014FCF-A5E4-45A3-BE68-C2AEF9910FB7}"/>
            </a:ext>
            <a:ext uri="{147F2762-F138-4A5C-976F-8EAC2B608ADB}">
              <a16:predDERef xmlns:a16="http://schemas.microsoft.com/office/drawing/2014/main" pred="{D0A1B738-D3EE-43F4-8B49-DB384E4F8B09}"/>
            </a:ext>
          </a:extLst>
        </xdr:cNvPr>
        <xdr:cNvSpPr>
          <a:spLocks noChangeAspect="1" noChangeArrowheads="1"/>
        </xdr:cNvSpPr>
      </xdr:nvSpPr>
      <xdr:spPr bwMode="auto">
        <a:xfrm>
          <a:off x="17040225" y="715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twoCellAnchor>
    <xdr:from>
      <xdr:col>9</xdr:col>
      <xdr:colOff>66675</xdr:colOff>
      <xdr:row>3</xdr:row>
      <xdr:rowOff>90487</xdr:rowOff>
    </xdr:from>
    <xdr:to>
      <xdr:col>14</xdr:col>
      <xdr:colOff>542925</xdr:colOff>
      <xdr:row>17</xdr:row>
      <xdr:rowOff>166687</xdr:rowOff>
    </xdr:to>
    <xdr:graphicFrame macro="">
      <xdr:nvGraphicFramePr>
        <xdr:cNvPr id="2" name="Gráfico 1">
          <a:extLst>
            <a:ext uri="{FF2B5EF4-FFF2-40B4-BE49-F238E27FC236}">
              <a16:creationId xmlns:a16="http://schemas.microsoft.com/office/drawing/2014/main" id="{5AB1AE50-F0D8-9BA5-B92D-BEDBA76B50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Sandra Marcela Torres Avella" id="{C4B0A0B9-1153-4E2F-BCC7-B3D12F64B0F7}" userId="S::sandra.torres@scj.gov.co::81412a3d-ea1c-4f4f-a06d-addcaea961a6"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ra Marcela Torres Avella" refreshedDate="45306.440394560188" createdVersion="8" refreshedVersion="6" minRefreshableVersion="3" recordCount="92" xr:uid="{00000000-000A-0000-FFFF-FFFF09000000}">
  <cacheSource type="worksheet">
    <worksheetSource ref="A2:K94" sheet="Datos"/>
  </cacheSource>
  <cacheFields count="11">
    <cacheField name="Reporte" numFmtId="0">
      <sharedItems containsBlank="1"/>
    </cacheField>
    <cacheField name="Tipo de proceso" numFmtId="0">
      <sharedItems count="4">
        <s v="Misional"/>
        <s v="Estratégico"/>
        <s v="De Evaluación"/>
        <s v="De Apoyo"/>
      </sharedItems>
    </cacheField>
    <cacheField name="Proceso" numFmtId="0">
      <sharedItems count="21">
        <s v="Gestión Integral a las Personas Privadas de la Libertad -PPL-"/>
        <s v="Gestión de Emergencias"/>
        <s v="Acceso y Fortalecimiento a la Justicia      "/>
        <s v="Administración de Bienes Muebles e Inmuebles para_x000a_el Fortalecimiento de las Capacidades Operativas"/>
        <s v="Atención y Relación con el Ciudadano "/>
        <s v="Control Interno Disciplinario "/>
        <s v="Direccionamiento estratégico"/>
        <s v="Evaluación al sistema de control interno"/>
        <s v="Fortalecimiento Institucional"/>
        <s v="Gestión Contractual"/>
        <s v="Gestión de Comunicaciones  Estratégicas"/>
        <s v="Gestión de Recursos Físicos al Servicio de la Entidad"/>
        <s v="Gestión de Seguridad y Convivencia"/>
        <s v="Gestión de tecnologías de la información"/>
        <s v="Gestión Documental"/>
        <s v="Gestión y Análisis de la Información"/>
        <s v="Gestión Estratégica del Talento Humano"/>
        <s v="Gestión Financiera"/>
        <s v="Gestión Juridica"/>
        <s v="Gestión Tecnológica de Seguridad y Emergecias"/>
        <s v="Gestión del Conocimiento y la Innovación Pública"/>
      </sharedItems>
    </cacheField>
    <cacheField name="Código" numFmtId="0">
      <sharedItems containsBlank="1"/>
    </cacheField>
    <cacheField name="Nombre del Indicador" numFmtId="0">
      <sharedItems longText="1"/>
    </cacheField>
    <cacheField name="Dependencia " numFmtId="0">
      <sharedItems/>
    </cacheField>
    <cacheField name="Naturaleza" numFmtId="0">
      <sharedItems/>
    </cacheField>
    <cacheField name="Tendencia" numFmtId="0">
      <sharedItems containsBlank="1"/>
    </cacheField>
    <cacheField name="Estado" numFmtId="0">
      <sharedItems count="2">
        <s v="Inactivo"/>
        <s v="Activo"/>
      </sharedItems>
    </cacheField>
    <cacheField name="Resultado Acumulado_x000a_" numFmtId="0">
      <sharedItems containsBlank="1" count="3">
        <m/>
        <s v="En cumplimiento"/>
        <s v="En ejecución"/>
      </sharedItems>
    </cacheField>
    <cacheField name="Trimestre_x000a_IV" numFmtId="0">
      <sharedItems containsBlank="1" containsMixedTypes="1" containsNumber="1" minValue="1.9367283950617283E-3" maxValue="90" count="33">
        <m/>
        <n v="30"/>
        <n v="16"/>
        <n v="0.98689138576779023"/>
        <n v="1"/>
        <n v="0.96207792207792209"/>
        <n v="90"/>
        <n v="0.87037037037037035"/>
        <n v="0.91123287671232878"/>
        <n v="0.63687150837988826"/>
        <n v="0.99513776337115067"/>
        <n v="1.2790697674418605"/>
        <n v="0.9007633587786259"/>
        <n v="0.27272727272727271"/>
        <n v="7.9877630982136738E-2"/>
        <n v="7.5648442287411771E-2"/>
        <n v="0.98852384468995014"/>
        <n v="0.93708333333333327"/>
        <n v="1.018337021814733"/>
        <n v="0.98089171974522293"/>
        <n v="0.98115429917550057"/>
        <n v="1.0319792566983579"/>
        <n v="0.88888888888888884"/>
        <n v="59"/>
        <n v="0.84322678843226784"/>
        <n v="0.32009999999999994"/>
        <n v="0.99556583767110085"/>
        <s v="0"/>
        <n v="5.857938718662953"/>
        <n v="0.99120807554542489"/>
        <n v="0.99510290204229457"/>
        <n v="1.9367283950617283E-3"/>
        <n v="0.875"/>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2">
  <r>
    <m/>
    <x v="0"/>
    <x v="0"/>
    <m/>
    <s v="Porcentaje mensual de alimentación suministrada   "/>
    <s v="Cárcel Distrital de Varones y Anexo de Mujeres"/>
    <s v="Eficacia "/>
    <s v="Creciente "/>
    <x v="0"/>
    <x v="0"/>
    <x v="0"/>
  </r>
  <r>
    <m/>
    <x v="0"/>
    <x v="1"/>
    <m/>
    <s v="Tasa de faltas en calidad"/>
    <s v="Centro de Comando, Control, Comunicaciones y Computol_C4         "/>
    <s v="Eficacia "/>
    <s v="Creciente "/>
    <x v="0"/>
    <x v="0"/>
    <x v="0"/>
  </r>
  <r>
    <s v="ok"/>
    <x v="0"/>
    <x v="2"/>
    <s v="AJ-1"/>
    <s v="Actividades implementadas para la articulación de instituciones en el marco de los sistemas locales de Justicia"/>
    <s v="Subsecretaría de Acceso a la Justicia"/>
    <s v="Eficacia "/>
    <s v="Creciente "/>
    <x v="1"/>
    <x v="1"/>
    <x v="1"/>
  </r>
  <r>
    <s v="ok"/>
    <x v="0"/>
    <x v="2"/>
    <s v="AJ-2"/>
    <s v="Implementación de actividades de sensibilización para la eliminación de las barreras culturales de acceso a la justicia"/>
    <s v="Subsecretaría de Acceso a la Justicia"/>
    <s v="Eficacia "/>
    <s v="Creciente "/>
    <x v="1"/>
    <x v="1"/>
    <x v="2"/>
  </r>
  <r>
    <s v="ok"/>
    <x v="0"/>
    <x v="2"/>
    <s v="AJ-3"/>
    <s v="Nivel de satisfaccion de atención dada por CRI Y CRI VIRTUAL"/>
    <s v="Subsecretaría de Acceso a la Justicia"/>
    <s v="Efectividad"/>
    <s v="Creciente "/>
    <x v="1"/>
    <x v="1"/>
    <x v="3"/>
  </r>
  <r>
    <m/>
    <x v="0"/>
    <x v="0"/>
    <m/>
    <s v="Porcentaje mensual de alimentación terapéutica suministrada       "/>
    <s v="Cárcel Distrital de Varones y Anexo de Mujeres"/>
    <s v="Eficacia "/>
    <s v="Decreciente"/>
    <x v="0"/>
    <x v="0"/>
    <x v="0"/>
  </r>
  <r>
    <s v="ok"/>
    <x v="0"/>
    <x v="2"/>
    <s v="AJ-4"/>
    <s v="Nivel de satisfacción de usuarios atendidos presencialmente en el programa Casa Libertad "/>
    <s v="Subsecretaría de Acceso a la Justicia"/>
    <s v="Efectividad"/>
    <s v="Creciente "/>
    <x v="1"/>
    <x v="1"/>
    <x v="4"/>
  </r>
  <r>
    <s v="ok"/>
    <x v="0"/>
    <x v="2"/>
    <s v="AJ-5"/>
    <s v="Nivel de satisfacción de usuarios y autoridades sobre el Programa Distrital de Justicia Restaurativa, línea Principio de Oportunidad y el cumplimiento de objetivos de los adolescentes y jóvenes ofensores."/>
    <s v="Subsecretaría de Acceso a la Justicia"/>
    <s v="Efectividad"/>
    <s v="Creciente "/>
    <x v="1"/>
    <x v="1"/>
    <x v="5"/>
  </r>
  <r>
    <s v="ok"/>
    <x v="0"/>
    <x v="2"/>
    <s v="AJ-6"/>
    <s v="Jornadas de Justicia Móvil en el Distrito realizadas"/>
    <s v="Subsecretaría de Acceso a la Justicia"/>
    <s v="Eficacia "/>
    <s v="Creciente "/>
    <x v="1"/>
    <x v="1"/>
    <x v="6"/>
  </r>
  <r>
    <m/>
    <x v="0"/>
    <x v="2"/>
    <m/>
    <s v="Implementación del modelo de Atención Restaurativo implementado en el CTP"/>
    <s v="Subsecretaría de Acceso a la Justicia"/>
    <s v="Eficacia "/>
    <s v="Creciente"/>
    <x v="0"/>
    <x v="0"/>
    <x v="0"/>
  </r>
  <r>
    <m/>
    <x v="0"/>
    <x v="2"/>
    <s v="AJ-7"/>
    <s v=" Adolescentes y Jóvenes del Sistema de Responsabilidad Penal para Adolescentes vinculados a las rutas de atención del Programa Distrital de Justicia Juvenil Restaurativa."/>
    <s v="Subsecretaría de Acceso a la Justicia"/>
    <s v="Eficacia "/>
    <s v="Creciente "/>
    <x v="0"/>
    <x v="0"/>
    <x v="0"/>
  </r>
  <r>
    <m/>
    <x v="0"/>
    <x v="2"/>
    <m/>
    <s v="Adolescentes y Jóvenes del Sistema de Responsabilidad Penal para Adolescentes vinculados a estrategias gestionadas por la Dirección de Responsabilidad Penal Adolescente y orientadas a fortalecer su atención integral."/>
    <s v="Subsecretaría de Acceso a la Justicia"/>
    <s v="Eficacia "/>
    <s v="Creciente "/>
    <x v="0"/>
    <x v="0"/>
    <x v="0"/>
  </r>
  <r>
    <s v="ok"/>
    <x v="0"/>
    <x v="3"/>
    <s v="AB-1"/>
    <s v="Porcentaje de expedientes de contratos vigentes supervisados por la Dirección de Bienes, completos"/>
    <s v="Subsecretaría de Inversiones y Fortalecimiento de Capacidades Operativas         "/>
    <s v="Efectividad"/>
    <s v="Creciente "/>
    <x v="1"/>
    <x v="1"/>
    <x v="7"/>
  </r>
  <r>
    <s v="Reporte posterior"/>
    <x v="1"/>
    <x v="4"/>
    <s v="AR-1"/>
    <s v="Porcentaje de oportunidad en las respuestas a las Peticiones, Quejas, Reclamos y Sugerencias - PQRS.         "/>
    <s v="Subsecretaría de Gestión Institucional"/>
    <s v="Eficiencia"/>
    <s v="Creciente "/>
    <x v="1"/>
    <x v="1"/>
    <x v="8"/>
  </r>
  <r>
    <s v="Reporte posterior"/>
    <x v="1"/>
    <x v="4"/>
    <s v="AR-3"/>
    <s v="Nivel de cumplimiento de calidad en las respuestas de los requerimientos ciudadanos"/>
    <s v="Subsecretaría de Gestión Institucional"/>
    <s v="Calidad"/>
    <s v="Creciente "/>
    <x v="1"/>
    <x v="1"/>
    <x v="9"/>
  </r>
  <r>
    <s v="Reporte posterior"/>
    <x v="1"/>
    <x v="4"/>
    <s v="AR-4"/>
    <s v="_x0009_Grado de satisfacción de la ciudadanía frente a la atención recibida en los puntos de la SDSCJ."/>
    <s v="Subsecretaría de Gestión Institucional"/>
    <s v="Efectividad"/>
    <s v="Creciente "/>
    <x v="1"/>
    <x v="1"/>
    <x v="10"/>
  </r>
  <r>
    <s v="ok"/>
    <x v="2"/>
    <x v="5"/>
    <s v="CID-1"/>
    <s v="Quejas disciplinarias evaluadas por la Oficina de Control Disciplinario"/>
    <s v="Control Interno Disciplinario         "/>
    <s v="Eficacia "/>
    <s v="Creciente "/>
    <x v="1"/>
    <x v="1"/>
    <x v="4"/>
  </r>
  <r>
    <s v="ok"/>
    <x v="2"/>
    <x v="5"/>
    <s v="CID-2"/>
    <s v="Expedientes disciplinarios impulsados en términos de ley"/>
    <s v="Control Interno Disciplinario         "/>
    <s v="Eficacia "/>
    <s v="Creciente "/>
    <x v="1"/>
    <x v="1"/>
    <x v="11"/>
  </r>
  <r>
    <s v="ok"/>
    <x v="1"/>
    <x v="6"/>
    <s v="DE-1"/>
    <s v="Nivel de cumplimiento del POA"/>
    <s v="Oficina Asesora de Planeación"/>
    <s v="Eficacia "/>
    <s v="Creciente "/>
    <x v="1"/>
    <x v="1"/>
    <x v="4"/>
  </r>
  <r>
    <s v="ok"/>
    <x v="2"/>
    <x v="7"/>
    <s v="SM-1"/>
    <s v="Porcentaje de cumplimiento del Plan Anual de Auditoria"/>
    <s v="Oficina de Control Interno"/>
    <s v="Eficacia "/>
    <s v="Creciente "/>
    <x v="1"/>
    <x v="1"/>
    <x v="4"/>
  </r>
  <r>
    <s v="ok"/>
    <x v="1"/>
    <x v="8"/>
    <s v="FI-1"/>
    <s v="Nivel de aprendizaje de capacitados en temas ambientales         "/>
    <s v="Oficina Asesora de Planeación"/>
    <s v="Efectividad"/>
    <s v="Creciente "/>
    <x v="1"/>
    <x v="1"/>
    <x v="12"/>
  </r>
  <r>
    <m/>
    <x v="0"/>
    <x v="0"/>
    <m/>
    <s v=" Variación de agresiones físicas entre las Personas Privadas de la Libertad en el periodo.         "/>
    <s v="Cárcel Distrital de Varones y Anexo de Mujeres"/>
    <s v="Eficacia "/>
    <s v="Decreciente"/>
    <x v="0"/>
    <x v="0"/>
    <x v="0"/>
  </r>
  <r>
    <s v="ok"/>
    <x v="3"/>
    <x v="9"/>
    <s v="GCT-1"/>
    <s v="Porcentaje de solicitudes de contratación de prestación de servicios profesionales y de apoyo a la gestión devueltos.         "/>
    <s v="Dirección Jurídica y Contractual         "/>
    <s v="Eficacia "/>
    <s v="Decreciente"/>
    <x v="1"/>
    <x v="2"/>
    <x v="13"/>
  </r>
  <r>
    <s v="ok"/>
    <x v="3"/>
    <x v="9"/>
    <s v="GCT-2"/>
    <s v="Elaboración de Contratos     "/>
    <s v="Subsecretaría de Inversiones y Fortalecimiento de Capacidades Operativas         "/>
    <s v="Eficacia "/>
    <s v="Creciente "/>
    <x v="1"/>
    <x v="1"/>
    <x v="4"/>
  </r>
  <r>
    <s v="ok"/>
    <x v="3"/>
    <x v="9"/>
    <s v="GCT-3"/>
    <s v="Elaboración de modificaciones contractuales"/>
    <s v="Subsecretaría de Inversiones y Fortalecimiento de Capacidades Operativas         "/>
    <s v="Eficacia "/>
    <s v="Creciente "/>
    <x v="1"/>
    <x v="1"/>
    <x v="4"/>
  </r>
  <r>
    <s v="ok"/>
    <x v="3"/>
    <x v="9"/>
    <s v="GCT-4"/>
    <s v="Porcentaje de procesos realizados         "/>
    <s v="Subsecretaría de Inversiones y Fortalecimiento de Capacidades Operativas         "/>
    <s v="Eficacia "/>
    <s v="Creciente "/>
    <x v="1"/>
    <x v="1"/>
    <x v="4"/>
  </r>
  <r>
    <s v="ok"/>
    <x v="1"/>
    <x v="10"/>
    <s v="GC-2"/>
    <s v="Oportunidad en la entrega de piezas gráficas de comunicación efectivas    "/>
    <s v="Oficina Asesora de Comunicaciones           "/>
    <s v="Eficiencia"/>
    <s v="Creciente "/>
    <x v="1"/>
    <x v="1"/>
    <x v="4"/>
  </r>
  <r>
    <s v="ok"/>
    <x v="1"/>
    <x v="10"/>
    <s v="GC-3"/>
    <s v="Nivel de cumplimiento  de acciones comunicativas internas"/>
    <s v="Oficina Asesora de Comunicaciones           "/>
    <s v="Eficacia "/>
    <s v="Creciente"/>
    <x v="1"/>
    <x v="1"/>
    <x v="4"/>
  </r>
  <r>
    <s v="ok"/>
    <x v="1"/>
    <x v="10"/>
    <s v="GC-1"/>
    <s v=" Crecimiento digital de audiencia a través de los canales oficiales de la SSCJ    "/>
    <s v="Oficina Asesora de Comunicaciones           "/>
    <s v="Eficacia "/>
    <s v="Creciente "/>
    <x v="1"/>
    <x v="1"/>
    <x v="14"/>
  </r>
  <r>
    <s v="Reporte posterior"/>
    <x v="0"/>
    <x v="1"/>
    <s v="GE-3"/>
    <s v="Tasa de Calidad de la Operación SUR"/>
    <s v="Centro de Comando, Control, Comunicaciones y Computol_C4         "/>
    <s v="Eficacia "/>
    <m/>
    <x v="1"/>
    <x v="0"/>
    <x v="0"/>
  </r>
  <r>
    <s v="Falta análisis"/>
    <x v="0"/>
    <x v="1"/>
    <s v="GE-1"/>
    <s v="Tasa de abandono de llamadas después de umbral"/>
    <s v="Centro de Comando, Control, Comunicaciones y Computol_C4         "/>
    <s v="Eficiencia"/>
    <s v="Decreciente"/>
    <x v="1"/>
    <x v="1"/>
    <x v="15"/>
  </r>
  <r>
    <s v="Falta análisis"/>
    <x v="0"/>
    <x v="1"/>
    <s v="GE-2"/>
    <s v="Tasa de respuesta de llamadas antes de umbral         "/>
    <s v="Centro de Comando, Control, Comunicaciones y Computol_C4         "/>
    <s v="Eficiencia"/>
    <s v="Creciente "/>
    <x v="1"/>
    <x v="1"/>
    <x v="16"/>
  </r>
  <r>
    <s v="ok"/>
    <x v="3"/>
    <x v="11"/>
    <s v="GRF-1"/>
    <s v="Porcentaje de solicitudes atendidas de entrada de bienes"/>
    <s v="Dirección de Recursos Físicos y Gestión Documental"/>
    <s v="Eficacia "/>
    <s v="Creciente "/>
    <x v="1"/>
    <x v="1"/>
    <x v="4"/>
  </r>
  <r>
    <s v="ok"/>
    <x v="3"/>
    <x v="11"/>
    <s v="GRF-2"/>
    <s v="Porcentaje de solicitudes atendidas de mantenimiento de la sede administrativa"/>
    <s v="Dirección de Recursos Físicos y Gestión Documental"/>
    <s v="Eficacia "/>
    <s v="Creciente "/>
    <x v="1"/>
    <x v="1"/>
    <x v="4"/>
  </r>
  <r>
    <s v="ok"/>
    <x v="0"/>
    <x v="12"/>
    <s v="GS-1"/>
    <s v="Grado de implementación de las acciones contempladas en las estrategias para el fortalecimiento de los organismos de seguridad, la participación ciudadana, la consolidación de entornos protectores, la atención a población vulnerable y el logro de las garantías a la movilización social."/>
    <s v="Subsecretario/a de Seguridad y Convivencia         "/>
    <s v="Eficacia "/>
    <s v="Creciente "/>
    <x v="1"/>
    <x v="1"/>
    <x v="17"/>
  </r>
  <r>
    <s v="ok"/>
    <x v="1"/>
    <x v="13"/>
    <s v="GT-1"/>
    <s v="Porcentaje de servicios prestados por la Dirección de Tecnologías y Sistemas de la Información"/>
    <s v="Dirección de Tecnologías de la Información"/>
    <s v="Eficacia "/>
    <s v="Creciente "/>
    <x v="1"/>
    <x v="1"/>
    <x v="18"/>
  </r>
  <r>
    <s v="ok"/>
    <x v="1"/>
    <x v="13"/>
    <s v="GT-2"/>
    <s v="Porcentaje de servicios atendidos a Satisfacción del usuario por la Dirección de Tecnologías y Sistemas de la Información         "/>
    <s v="Dirección de Tecnologías de la Información"/>
    <s v="Efectividad"/>
    <s v="Creciente "/>
    <x v="1"/>
    <x v="1"/>
    <x v="19"/>
  </r>
  <r>
    <m/>
    <x v="1"/>
    <x v="4"/>
    <s v="AR-2"/>
    <s v="Porcentaje de peticiones, quejas, reclamos y sugerencias trasladadas a otra(s) entidad(es)."/>
    <s v="Subsecretaría de Gestión Institucional"/>
    <s v="Eficacia "/>
    <s v="Creciente "/>
    <x v="0"/>
    <x v="0"/>
    <x v="0"/>
  </r>
  <r>
    <s v="ok"/>
    <x v="1"/>
    <x v="13"/>
    <s v="GT-3"/>
    <s v="Porcentaje de incidentes cerrados por la Dirección de Tecnologías y Sistemas de la Información         "/>
    <s v="Dirección de Tecnologías de la Información"/>
    <s v="Eficacia "/>
    <s v="Creciente "/>
    <x v="1"/>
    <x v="1"/>
    <x v="20"/>
  </r>
  <r>
    <s v="ok"/>
    <x v="1"/>
    <x v="13"/>
    <s v="GT-4"/>
    <s v="Porcentaje de requerimientos cerrados por la Dirección de Tecnologías y Sistemas de la Información         "/>
    <s v="Dirección de Tecnologías de la Información"/>
    <s v="Eficacia "/>
    <s v="Creciente "/>
    <x v="1"/>
    <x v="1"/>
    <x v="21"/>
  </r>
  <r>
    <s v="ok"/>
    <x v="1"/>
    <x v="13"/>
    <s v="GT-5"/>
    <s v="Porcentaje de Cambios aprobados por el Comité de Gestión de Cambios - CGC         "/>
    <s v="Dirección de Tecnologías de la Información"/>
    <s v="Eficacia "/>
    <s v="Creciente "/>
    <x v="1"/>
    <x v="1"/>
    <x v="4"/>
  </r>
  <r>
    <s v="ok"/>
    <x v="1"/>
    <x v="13"/>
    <s v="GT-6"/>
    <s v="Porcentaje de Cambios exitosos aprobados por el Comité de Gestión de Cambios - CGC         "/>
    <s v="Dirección de Tecnologías de la Información"/>
    <s v="Eficacia "/>
    <s v="Creciente "/>
    <x v="1"/>
    <x v="1"/>
    <x v="22"/>
  </r>
  <r>
    <s v="ok"/>
    <x v="3"/>
    <x v="14"/>
    <s v="GDO-1"/>
    <s v="Porcentaje de capacitaciones realizadas         "/>
    <s v="Dirección de Recursos Físicos y Gestión Documental"/>
    <s v="Eficacia "/>
    <s v="Creciente "/>
    <x v="1"/>
    <x v="1"/>
    <x v="4"/>
  </r>
  <r>
    <s v="ok"/>
    <x v="3"/>
    <x v="14"/>
    <s v="GDO-2"/>
    <s v="Porcentaje de consulta y préstamo de expedientes del Archivo Central          "/>
    <s v="Dirección de Recursos Físicos y Gestión Documental"/>
    <s v="Eficacia "/>
    <s v="Creciente "/>
    <x v="1"/>
    <x v="1"/>
    <x v="4"/>
  </r>
  <r>
    <s v="ok"/>
    <x v="3"/>
    <x v="14"/>
    <s v="GDO-3"/>
    <s v="Porcentaje de cumplimiento en la entrega de las comunicaciones oficiales de entrada radicadas         "/>
    <s v="Dirección de Recursos Físicos y Gestión Documental"/>
    <s v="Eficacia "/>
    <s v="Creciente "/>
    <x v="1"/>
    <x v="1"/>
    <x v="4"/>
  </r>
  <r>
    <m/>
    <x v="1"/>
    <x v="15"/>
    <s v="GI-3"/>
    <s v="Actualización Base de Datos Geográfica"/>
    <s v="Oficina de Análisis de Información y Estudios Estratégicos"/>
    <s v="Eficacia "/>
    <s v="Creciente "/>
    <x v="0"/>
    <x v="0"/>
    <x v="0"/>
  </r>
  <r>
    <m/>
    <x v="1"/>
    <x v="13"/>
    <m/>
    <s v="Porcentaje de Implementación Arquitectura Empresarial  en las dependencias de la SDSCJ         "/>
    <s v="Director de Tecnología y Sistemas de Información         "/>
    <s v="Eficacia "/>
    <s v="Estable"/>
    <x v="0"/>
    <x v="0"/>
    <x v="0"/>
  </r>
  <r>
    <s v="ok"/>
    <x v="3"/>
    <x v="14"/>
    <s v="GDO-4"/>
    <s v="Porcentaje de avance del Plan de Preservación Digital a Largo Plazo del Sistema Integrado de Conservación       "/>
    <s v="Dirección de Recursos Físicos y Gestión Documental"/>
    <s v="Eficacia "/>
    <s v="Creciente "/>
    <x v="1"/>
    <x v="1"/>
    <x v="4"/>
  </r>
  <r>
    <s v="ok"/>
    <x v="3"/>
    <x v="14"/>
    <s v="GDO-5"/>
    <s v="Porcentaje de avance del Plan de Conservación Documental del Sistema Integrado de Conservación "/>
    <s v="Dirección de Recursos Físicos y Gestión Documental"/>
    <s v="Eficacia "/>
    <s v="Creciente "/>
    <x v="1"/>
    <x v="1"/>
    <x v="4"/>
  </r>
  <r>
    <m/>
    <x v="1"/>
    <x v="16"/>
    <m/>
    <s v="Cobertura con las actividades del Programa &quot;Talento Humano en una Organización Saludable&quot;"/>
    <s v="Dirección de Gestión Humana"/>
    <s v="Eficacia "/>
    <s v="Creciente "/>
    <x v="0"/>
    <x v="0"/>
    <x v="0"/>
  </r>
  <r>
    <m/>
    <x v="1"/>
    <x v="16"/>
    <m/>
    <s v="Satisfacción con las actividades del módulo Secretaría en Familia"/>
    <s v="Dirección de Gestión Humana"/>
    <s v="Efectividad"/>
    <s v="Creciente "/>
    <x v="0"/>
    <x v="0"/>
    <x v="0"/>
  </r>
  <r>
    <m/>
    <x v="1"/>
    <x v="16"/>
    <m/>
    <s v="Satisfacción con las actividades del módulo Bienestar, Incentivos, Estímulos y Reconocimientos"/>
    <s v="Dirección de Gestión Humana"/>
    <s v="Efectividad"/>
    <s v="Creciente "/>
    <x v="0"/>
    <x v="0"/>
    <x v="0"/>
  </r>
  <r>
    <m/>
    <x v="1"/>
    <x v="16"/>
    <m/>
    <s v="Satisfacción con las actividades del módulo Formación y Capacitación"/>
    <s v="Dirección de Gestión Humana"/>
    <s v="Efectividad"/>
    <s v="Creciente "/>
    <x v="0"/>
    <x v="0"/>
    <x v="0"/>
  </r>
  <r>
    <m/>
    <x v="1"/>
    <x v="16"/>
    <m/>
    <s v="Satisfacción con las actividades del módulo Secretaría Sostenible"/>
    <s v="Dirección de Gestión Humana"/>
    <s v="Efectividad"/>
    <s v="Creciente "/>
    <x v="0"/>
    <x v="0"/>
    <x v="0"/>
  </r>
  <r>
    <m/>
    <x v="1"/>
    <x v="16"/>
    <m/>
    <s v="Impacto de la actividades de bienestar         "/>
    <s v="Dirección de Gestión Humana"/>
    <s v="Efectividad"/>
    <s v="Creciente "/>
    <x v="0"/>
    <x v="0"/>
    <x v="0"/>
  </r>
  <r>
    <m/>
    <x v="1"/>
    <x v="16"/>
    <m/>
    <s v="Frecuencia de accidentalidad"/>
    <s v="Dirección de Gestión Humana"/>
    <s v="Eficacia "/>
    <s v="Decreciente"/>
    <x v="0"/>
    <x v="0"/>
    <x v="0"/>
  </r>
  <r>
    <m/>
    <x v="1"/>
    <x v="16"/>
    <m/>
    <s v="Incidencia de Enfermedad Laboral"/>
    <s v="Dirección de Gestión Humana"/>
    <s v="Eficacia "/>
    <s v="Decreciente"/>
    <x v="0"/>
    <x v="0"/>
    <x v="0"/>
  </r>
  <r>
    <m/>
    <x v="1"/>
    <x v="16"/>
    <m/>
    <s v="Ausentismo por causa médica"/>
    <s v="Dirección de Gestión Humana"/>
    <s v="Eficacia "/>
    <s v="Decreciente"/>
    <x v="0"/>
    <x v="0"/>
    <x v="0"/>
  </r>
  <r>
    <m/>
    <x v="1"/>
    <x v="16"/>
    <m/>
    <s v="Cumplimiento de actividades del módulo Seguridad y Salud en el Trabajo"/>
    <s v="Dirección de Gestión Humana"/>
    <s v="Eficacia "/>
    <s v="Creciente "/>
    <x v="0"/>
    <x v="0"/>
    <x v="0"/>
  </r>
  <r>
    <m/>
    <x v="1"/>
    <x v="16"/>
    <m/>
    <s v="Cumplimiento de actividades del módulo Hábitos Saludables"/>
    <s v="Dirección de Gestión Humana"/>
    <s v="Eficacia "/>
    <s v="Creciente "/>
    <x v="0"/>
    <x v="0"/>
    <x v="0"/>
  </r>
  <r>
    <m/>
    <x v="1"/>
    <x v="16"/>
    <m/>
    <s v="Cumplimiento de actividades del módulo Secretaría en Familia"/>
    <s v="Dirección de Gestión Humana"/>
    <s v="Eficacia "/>
    <s v="Creciente "/>
    <x v="0"/>
    <x v="0"/>
    <x v="0"/>
  </r>
  <r>
    <m/>
    <x v="1"/>
    <x v="16"/>
    <m/>
    <s v="Cumplimiento de actividades del módulo Bienestar, Incentivos, Estímulos y Reconocimientos"/>
    <s v="Dirección de Gestión Humana"/>
    <s v="Eficacia "/>
    <s v="Creciente "/>
    <x v="0"/>
    <x v="0"/>
    <x v="0"/>
  </r>
  <r>
    <m/>
    <x v="1"/>
    <x v="16"/>
    <m/>
    <s v="Cumplimiento de actividades del módulo Formación y Capacitación"/>
    <s v="Dirección de Gestión Humana"/>
    <s v="Eficacia "/>
    <s v="Creciente "/>
    <x v="0"/>
    <x v="0"/>
    <x v="0"/>
  </r>
  <r>
    <m/>
    <x v="1"/>
    <x v="16"/>
    <m/>
    <s v="Cumplimiento de actividades del módulo Secretaría Sostenible"/>
    <s v="Dirección de Gestión Humana"/>
    <s v="Eficacia "/>
    <s v="Creciente "/>
    <x v="0"/>
    <x v="0"/>
    <x v="0"/>
  </r>
  <r>
    <s v="ok"/>
    <x v="3"/>
    <x v="14"/>
    <s v="GDO-6"/>
    <s v="Porcentaje de avance en la implementación del Plan Institucional de Archivos PINAR_x0009__x0009__x0009__x0009_"/>
    <s v="Dirección de Recursos Físicos y Gestión Documental"/>
    <s v="Eficacia "/>
    <s v="Creciente "/>
    <x v="1"/>
    <x v="1"/>
    <x v="4"/>
  </r>
  <r>
    <s v="ok"/>
    <x v="1"/>
    <x v="16"/>
    <s v="GH-3"/>
    <s v="_x0009_Eficacia del Plan Estrategico de Talento Humano"/>
    <s v="Dirección de Gestión Humana"/>
    <s v="Eficacia "/>
    <m/>
    <x v="1"/>
    <x v="1"/>
    <x v="23"/>
  </r>
  <r>
    <s v="ok"/>
    <x v="1"/>
    <x v="16"/>
    <s v="GH-1"/>
    <s v="Satisfacción con las actividades del módulo Seguridad y Salud en el Trabajo        "/>
    <s v="Dirección de Gestión Humana"/>
    <s v="Efectividad"/>
    <s v="Creciente "/>
    <x v="1"/>
    <x v="1"/>
    <x v="24"/>
  </r>
  <r>
    <m/>
    <x v="1"/>
    <x v="16"/>
    <m/>
    <s v="Satisfacción con las actividades del módulo Hábitos Saludables"/>
    <s v="Dirección de Gestión Humana"/>
    <s v="Efectividad"/>
    <s v="Creciente "/>
    <x v="0"/>
    <x v="0"/>
    <x v="0"/>
  </r>
  <r>
    <s v="ok"/>
    <x v="1"/>
    <x v="16"/>
    <s v="GH-2"/>
    <s v="_x0009_Nivel adquirido de conocimiento en las capacitaciones"/>
    <s v="Dirección de Gestión Humana"/>
    <s v="Eficiencia"/>
    <m/>
    <x v="1"/>
    <x v="1"/>
    <x v="25"/>
  </r>
  <r>
    <m/>
    <x v="1"/>
    <x v="15"/>
    <m/>
    <s v="Cumplimiento en la elaboración de Policy Brief"/>
    <s v="Oficina de Análisis de Información y Estudios Estratégicos"/>
    <s v="Eficacia "/>
    <s v="Creciente "/>
    <x v="0"/>
    <x v="0"/>
    <x v="0"/>
  </r>
  <r>
    <s v="ok"/>
    <x v="3"/>
    <x v="17"/>
    <s v="GF-1"/>
    <s v="Porcentaje de Conciliaciones Contables Realizadas         "/>
    <s v="Dirección Financiero"/>
    <s v="Eficacia "/>
    <s v="Creciente "/>
    <x v="1"/>
    <x v="1"/>
    <x v="4"/>
  </r>
  <r>
    <s v="ok"/>
    <x v="3"/>
    <x v="17"/>
    <s v="GF-2"/>
    <s v="Porcentaje de seguimientos a la ejecución del PAC"/>
    <s v="Dirección Financiero"/>
    <s v="Eficacia "/>
    <s v="Creciente "/>
    <x v="1"/>
    <x v="1"/>
    <x v="4"/>
  </r>
  <r>
    <m/>
    <x v="1"/>
    <x v="16"/>
    <m/>
    <s v="Impacto de la intervención asociada al programa de vigilancia epidemiológica de riesgo biomecánico"/>
    <s v="Dirección de Gestión Humana"/>
    <s v="Efectividad"/>
    <s v="Decreciente"/>
    <x v="0"/>
    <x v="0"/>
    <x v="0"/>
  </r>
  <r>
    <s v="ok"/>
    <x v="3"/>
    <x v="17"/>
    <s v="GF-3"/>
    <s v="Oportunidad en el Trámite de Cuentas"/>
    <s v="Dirección Financiero"/>
    <s v="Eficiencia"/>
    <s v="Creciente "/>
    <x v="1"/>
    <x v="1"/>
    <x v="26"/>
  </r>
  <r>
    <s v="ok"/>
    <x v="3"/>
    <x v="17"/>
    <s v="GF-4"/>
    <s v="Oportunidad en la expedición y firma de CDP's"/>
    <s v="Dirección Financiero"/>
    <s v="Eficiencia"/>
    <s v="Creciente "/>
    <x v="1"/>
    <x v="1"/>
    <x v="4"/>
  </r>
  <r>
    <s v="ok"/>
    <x v="3"/>
    <x v="17"/>
    <s v="GF-5"/>
    <s v="Oportunidad en la expedición y firma de CRP's"/>
    <s v="Dirección Financiero"/>
    <s v="Eficiencia"/>
    <s v="Creciente "/>
    <x v="1"/>
    <x v="1"/>
    <x v="4"/>
  </r>
  <r>
    <s v="ok"/>
    <x v="0"/>
    <x v="0"/>
    <s v="GIP-1"/>
    <s v="Porcentaje de remisiones tramitadas"/>
    <s v="Cárcel Distrital de Varones y Anexo de Mujeres"/>
    <s v="Eficacia "/>
    <s v="Creciente "/>
    <x v="1"/>
    <x v="1"/>
    <x v="4"/>
  </r>
  <r>
    <m/>
    <x v="0"/>
    <x v="0"/>
    <s v="GIP-2"/>
    <s v="Porcentaje de requerimientos vencidos en el mes"/>
    <s v="Cárcel Distrital de Varones y Anexo de Mujeres"/>
    <s v="Eficacia "/>
    <s v="Decreciente"/>
    <x v="0"/>
    <x v="1"/>
    <x v="27"/>
  </r>
  <r>
    <s v="ok"/>
    <x v="0"/>
    <x v="0"/>
    <s v="GIP-3"/>
    <s v="Expedición de Certificados de Redención"/>
    <s v="Cárcel Distrital de Varones y Anexo de Mujeres"/>
    <s v="Eficiencia"/>
    <s v="Decreciente"/>
    <x v="1"/>
    <x v="1"/>
    <x v="28"/>
  </r>
  <r>
    <s v="ok"/>
    <x v="0"/>
    <x v="0"/>
    <s v="GIP-4"/>
    <s v="Porcentaje cumplimiento de requisas programadas."/>
    <s v="Cárcel Distrital de Varones y Anexo de Mujeres"/>
    <s v="Eficacia "/>
    <s v="Creciente "/>
    <x v="1"/>
    <x v="1"/>
    <x v="4"/>
  </r>
  <r>
    <s v="ok"/>
    <x v="0"/>
    <x v="0"/>
    <s v="GIP-5"/>
    <s v="Porcentaje de atención en salud básica mensual a las Personas Privadas de la Libertad         _x000a_"/>
    <s v="Cárcel Distrital de Varones y Anexo de Mujeres"/>
    <s v="Eficacia "/>
    <s v="Creciente "/>
    <x v="1"/>
    <x v="1"/>
    <x v="4"/>
  </r>
  <r>
    <s v="ok"/>
    <x v="0"/>
    <x v="0"/>
    <s v="GIP-6"/>
    <s v="Porcentaje de satisfacción de los servicios prestados a las Personas Privadas de la Libertad         "/>
    <s v="Cárcel Distrital de Varones y Anexo de Mujeres"/>
    <s v="Efectividad"/>
    <s v="Creciente "/>
    <x v="1"/>
    <x v="1"/>
    <x v="4"/>
  </r>
  <r>
    <s v="ok"/>
    <x v="0"/>
    <x v="0"/>
    <s v="GIP-7"/>
    <s v="Porcentaje de continuidad en las actividades válidas para redención de pena "/>
    <s v="Cárcel Distrital de Varones y Anexo de Mujeres"/>
    <s v="Eficiencia"/>
    <s v="Creciente "/>
    <x v="1"/>
    <x v="1"/>
    <x v="29"/>
  </r>
  <r>
    <s v="ok"/>
    <x v="3"/>
    <x v="18"/>
    <s v="GJ-2"/>
    <s v="Nivel de oportunidad en las respuestas dadas a las demandas notificadas a la Entidad_x0009__x0009__x0009__x0009__x000a_"/>
    <s v="Dirección Jurídica y Contractual         "/>
    <s v="Eficacia "/>
    <s v="Creciente "/>
    <x v="1"/>
    <x v="1"/>
    <x v="4"/>
  </r>
  <r>
    <m/>
    <x v="1"/>
    <x v="15"/>
    <m/>
    <s v="Porcentaje de servidores que conocen la Oficina de Análisis de Información y Estudios Estratégicos"/>
    <s v="Oficina de Análisis de Información y Estudios Estratégicos"/>
    <s v="Eficacia "/>
    <s v="Estable"/>
    <x v="0"/>
    <x v="0"/>
    <x v="0"/>
  </r>
  <r>
    <s v="ok"/>
    <x v="2"/>
    <x v="7"/>
    <m/>
    <s v="Porcentaje  de acciones efectivas ejecutadas del Plan de Mejoramiento Interno.         "/>
    <s v="Jefe Oficina de Control Interno."/>
    <s v="Eficiencia"/>
    <s v="Creciente "/>
    <x v="0"/>
    <x v="1"/>
    <x v="4"/>
  </r>
  <r>
    <s v="ok"/>
    <x v="3"/>
    <x v="18"/>
    <s v="GJ-1"/>
    <s v="Porcentaje de solicitudes o requerimientos judiciales (acciones de tutela) tramitadas a tiempo         "/>
    <s v="Dirección Jurídica y Contractual         "/>
    <s v="Eficiencia"/>
    <s v="Creciente "/>
    <x v="1"/>
    <x v="1"/>
    <x v="4"/>
  </r>
  <r>
    <s v="ok"/>
    <x v="0"/>
    <x v="19"/>
    <s v="GTS-1"/>
    <s v="Porcentaje de requerimientos atendidos_x0009__x0009__x0009__x0009__x000a_"/>
    <s v="Oficina Centro de Comando, Control, Comunicaciones y Cómputo -C4_x0009__x0009__x0009__x0009_"/>
    <s v="Eficacia "/>
    <s v="Creciente "/>
    <x v="1"/>
    <x v="1"/>
    <x v="30"/>
  </r>
  <r>
    <s v="ok"/>
    <x v="0"/>
    <x v="19"/>
    <s v="GTS-2"/>
    <s v="Disponibilidad de los componentes tecnológicos del C4_x0009__x0009__x0009__x0009__x000a_"/>
    <s v="Oficina Centro de Comando, Control, Comunicaciones y Cómputo -C4_x0009__x0009__x0009__x0009_"/>
    <s v="Eficiencia"/>
    <s v="Decreciente"/>
    <x v="1"/>
    <x v="1"/>
    <x v="31"/>
  </r>
  <r>
    <s v="ok"/>
    <x v="1"/>
    <x v="15"/>
    <s v="GI-1"/>
    <s v="Cumplimiento en tiempos de respuesta a los requerimientos de información.         "/>
    <s v="Oficina de Análisis de Información y Estudios Estratégicos"/>
    <s v="Eficiencia"/>
    <s v="Creciente "/>
    <x v="1"/>
    <x v="1"/>
    <x v="4"/>
  </r>
  <r>
    <s v="ok"/>
    <x v="1"/>
    <x v="15"/>
    <s v="GI-2"/>
    <s v="Cumplimiento en la Actualización de la  Bodega de Datos"/>
    <s v="Oficina de Análisis de Información y Estudios Estratégicos"/>
    <s v="Eficacia "/>
    <s v="Creciente "/>
    <x v="1"/>
    <x v="1"/>
    <x v="32"/>
  </r>
  <r>
    <s v="Revisar"/>
    <x v="1"/>
    <x v="20"/>
    <s v="GCI-1"/>
    <s v="Medir de construcción del  inventario de conocimiento_x0009__x0009__x0009__x0009__x000a_"/>
    <s v="Oficina Asesora de Planeación"/>
    <s v="Eficacia "/>
    <s v="Creciente "/>
    <x v="1"/>
    <x v="1"/>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2" cacheId="0" applyNumberFormats="0" applyBorderFormats="0" applyFontFormats="0" applyPatternFormats="0" applyAlignmentFormats="0" applyWidthHeightFormats="1" dataCaption="Valores" updatedVersion="6" minRefreshableVersion="3" useAutoFormatting="1" itemPrintTitles="1" createdVersion="8" indent="0" outline="1" outlineData="1" multipleFieldFilters="0" chartFormat="12">
  <location ref="C10:G33" firstHeaderRow="1" firstDataRow="2" firstDataCol="1" rowPageCount="2" colPageCount="1"/>
  <pivotFields count="11">
    <pivotField showAll="0"/>
    <pivotField axis="axisPage" multipleItemSelectionAllowed="1" showAll="0">
      <items count="5">
        <item x="3"/>
        <item x="2"/>
        <item x="1"/>
        <item x="0"/>
        <item t="default"/>
      </items>
    </pivotField>
    <pivotField axis="axisRow" showAll="0">
      <items count="22">
        <item x="2"/>
        <item x="3"/>
        <item x="4"/>
        <item x="5"/>
        <item x="6"/>
        <item x="7"/>
        <item x="8"/>
        <item x="9"/>
        <item x="10"/>
        <item x="1"/>
        <item x="11"/>
        <item x="12"/>
        <item x="13"/>
        <item x="20"/>
        <item x="14"/>
        <item x="16"/>
        <item x="17"/>
        <item x="0"/>
        <item x="18"/>
        <item x="19"/>
        <item x="15"/>
        <item t="default"/>
      </items>
    </pivotField>
    <pivotField showAll="0"/>
    <pivotField showAll="0"/>
    <pivotField showAll="0"/>
    <pivotField showAll="0"/>
    <pivotField showAll="0"/>
    <pivotField axis="axisPage" multipleItemSelectionAllowed="1" showAll="0">
      <items count="3">
        <item x="1"/>
        <item h="1" x="0"/>
        <item t="default"/>
      </items>
    </pivotField>
    <pivotField axis="axisCol" dataField="1" showAll="0">
      <items count="4">
        <item x="1"/>
        <item x="2"/>
        <item x="0"/>
        <item t="default"/>
      </items>
    </pivotField>
    <pivotField showAll="0">
      <items count="34">
        <item x="31"/>
        <item x="15"/>
        <item x="14"/>
        <item x="13"/>
        <item x="25"/>
        <item x="9"/>
        <item x="24"/>
        <item x="7"/>
        <item x="32"/>
        <item x="22"/>
        <item x="12"/>
        <item x="8"/>
        <item x="17"/>
        <item x="5"/>
        <item x="19"/>
        <item x="20"/>
        <item x="3"/>
        <item x="16"/>
        <item x="29"/>
        <item x="30"/>
        <item x="10"/>
        <item x="26"/>
        <item x="4"/>
        <item x="18"/>
        <item x="21"/>
        <item x="11"/>
        <item x="28"/>
        <item x="2"/>
        <item x="1"/>
        <item x="23"/>
        <item x="6"/>
        <item x="27"/>
        <item x="0"/>
        <item t="default"/>
      </items>
    </pivotField>
  </pivotFields>
  <rowFields count="1">
    <field x="2"/>
  </rowFields>
  <rowItems count="22">
    <i>
      <x/>
    </i>
    <i>
      <x v="1"/>
    </i>
    <i>
      <x v="2"/>
    </i>
    <i>
      <x v="3"/>
    </i>
    <i>
      <x v="4"/>
    </i>
    <i>
      <x v="5"/>
    </i>
    <i>
      <x v="6"/>
    </i>
    <i>
      <x v="7"/>
    </i>
    <i>
      <x v="8"/>
    </i>
    <i>
      <x v="9"/>
    </i>
    <i>
      <x v="10"/>
    </i>
    <i>
      <x v="11"/>
    </i>
    <i>
      <x v="12"/>
    </i>
    <i>
      <x v="13"/>
    </i>
    <i>
      <x v="14"/>
    </i>
    <i>
      <x v="15"/>
    </i>
    <i>
      <x v="16"/>
    </i>
    <i>
      <x v="17"/>
    </i>
    <i>
      <x v="18"/>
    </i>
    <i>
      <x v="19"/>
    </i>
    <i>
      <x v="20"/>
    </i>
    <i t="grand">
      <x/>
    </i>
  </rowItems>
  <colFields count="1">
    <field x="9"/>
  </colFields>
  <colItems count="4">
    <i>
      <x/>
    </i>
    <i>
      <x v="1"/>
    </i>
    <i>
      <x v="2"/>
    </i>
    <i t="grand">
      <x/>
    </i>
  </colItems>
  <pageFields count="2">
    <pageField fld="8" hier="-1"/>
    <pageField fld="1" hier="-1"/>
  </pageFields>
  <dataFields count="1">
    <dataField name="Cuenta de Resultado Acumulado_x000a_" fld="9" subtotal="count" baseField="0" baseItem="0"/>
  </dataFields>
  <chartFormats count="5">
    <chartFormat chart="9" format="9" series="1">
      <pivotArea type="data" outline="0" fieldPosition="0">
        <references count="1">
          <reference field="9" count="1" selected="0">
            <x v="2"/>
          </reference>
        </references>
      </pivotArea>
    </chartFormat>
    <chartFormat chart="9" format="10" series="1">
      <pivotArea type="data" outline="0" fieldPosition="0">
        <references count="1">
          <reference field="9" count="1" selected="0">
            <x v="0"/>
          </reference>
        </references>
      </pivotArea>
    </chartFormat>
    <chartFormat chart="9" format="11" series="1">
      <pivotArea type="data" outline="0" fieldPosition="0">
        <references count="2">
          <reference field="4294967294" count="1" selected="0">
            <x v="0"/>
          </reference>
          <reference field="9" count="1" selected="0">
            <x v="1"/>
          </reference>
        </references>
      </pivotArea>
    </chartFormat>
    <chartFormat chart="9" format="12" series="1">
      <pivotArea type="data" outline="0" fieldPosition="0">
        <references count="2">
          <reference field="4294967294" count="1" selected="0">
            <x v="0"/>
          </reference>
          <reference field="9" count="1" selected="0">
            <x v="0"/>
          </reference>
        </references>
      </pivotArea>
    </chartFormat>
    <chartFormat chart="9" format="13" series="1">
      <pivotArea type="data" outline="0" fieldPosition="0">
        <references count="2">
          <reference field="4294967294" count="1" selected="0">
            <x v="0"/>
          </reference>
          <reference field="9"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4" dT="2022-03-24T01:03:26.00" personId="{C4B0A0B9-1153-4E2F-BCC7-B3D12F64B0F7}" id="{4C7A1683-E4DA-480D-87EE-AFC1B373CAED}">
    <text>Verificar metas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BB99"/>
  <sheetViews>
    <sheetView showGridLines="0" tabSelected="1" zoomScale="10" zoomScaleNormal="10" zoomScaleSheetLayoutView="100" workbookViewId="0">
      <selection activeCell="BD1" sqref="BD1"/>
    </sheetView>
  </sheetViews>
  <sheetFormatPr baseColWidth="10" defaultColWidth="11.42578125" defaultRowHeight="12.75" x14ac:dyDescent="0.25"/>
  <cols>
    <col min="1" max="1" width="12.7109375" style="367" customWidth="1"/>
    <col min="2" max="2" width="17.7109375" style="363" customWidth="1"/>
    <col min="3" max="3" width="11.5703125" style="367" customWidth="1"/>
    <col min="4" max="4" width="24.140625" style="380" customWidth="1"/>
    <col min="5" max="5" width="35.5703125" style="380" customWidth="1"/>
    <col min="6" max="6" width="24.85546875" style="377" customWidth="1"/>
    <col min="7" max="8" width="15.85546875" style="381" customWidth="1"/>
    <col min="9" max="9" width="12.140625" style="381" customWidth="1"/>
    <col min="10" max="10" width="15.7109375" style="363" customWidth="1"/>
    <col min="11" max="12" width="15.85546875" style="382" customWidth="1"/>
    <col min="13" max="14" width="13.140625" style="377" customWidth="1"/>
    <col min="15" max="17" width="15" style="367" customWidth="1"/>
    <col min="18" max="20" width="7.140625" style="68" hidden="1" customWidth="1"/>
    <col min="21" max="21" width="10.7109375" style="68" hidden="1" customWidth="1"/>
    <col min="22" max="22" width="10.7109375" style="4" hidden="1" customWidth="1"/>
    <col min="23" max="23" width="9.28515625" style="4" hidden="1" customWidth="1"/>
    <col min="24" max="24" width="8.7109375" style="68" hidden="1" customWidth="1"/>
    <col min="25" max="25" width="8.42578125" style="68" hidden="1" customWidth="1"/>
    <col min="26" max="27" width="7.140625" style="68" hidden="1" customWidth="1"/>
    <col min="28" max="28" width="6.85546875" style="68" hidden="1" customWidth="1"/>
    <col min="29" max="29" width="8.140625" style="68" hidden="1" customWidth="1"/>
    <col min="30" max="34" width="7.140625" style="68" hidden="1" customWidth="1"/>
    <col min="35" max="35" width="9.140625" style="68" hidden="1" customWidth="1"/>
    <col min="36" max="36" width="10.140625" style="381" customWidth="1"/>
    <col min="37" max="37" width="10.42578125" style="381" customWidth="1"/>
    <col min="38" max="38" width="7.140625" style="381" customWidth="1"/>
    <col min="39" max="39" width="7.140625" style="388" customWidth="1"/>
    <col min="40" max="40" width="8.28515625" style="381" customWidth="1"/>
    <col min="41" max="41" width="8.7109375" style="381" customWidth="1"/>
    <col min="42" max="42" width="11.42578125" style="367" customWidth="1"/>
    <col min="43" max="43" width="8.7109375" style="367" customWidth="1"/>
    <col min="44" max="44" width="10.85546875" style="367" customWidth="1"/>
    <col min="45" max="45" width="11" style="367" customWidth="1"/>
    <col min="46" max="48" width="11" style="4" customWidth="1"/>
    <col min="49" max="49" width="14" style="4" customWidth="1"/>
    <col min="50" max="50" width="33.85546875" style="7" customWidth="1"/>
    <col min="51" max="51" width="13.28515625" style="3" customWidth="1"/>
    <col min="52" max="16384" width="11.42578125" style="3"/>
  </cols>
  <sheetData>
    <row r="1" spans="1:54" ht="108" customHeight="1" thickBot="1" x14ac:dyDescent="0.4">
      <c r="A1" s="173"/>
      <c r="B1" s="63"/>
      <c r="C1" s="4"/>
      <c r="D1" s="163"/>
      <c r="E1" s="299" t="s">
        <v>0</v>
      </c>
      <c r="F1" s="299"/>
      <c r="G1" s="299"/>
      <c r="H1" s="299"/>
      <c r="I1" s="299"/>
      <c r="J1" s="300"/>
      <c r="K1" s="299"/>
      <c r="L1" s="299"/>
      <c r="M1" s="299"/>
      <c r="N1" s="299"/>
      <c r="O1" s="299"/>
      <c r="P1" s="299"/>
      <c r="Q1" s="299"/>
      <c r="R1" s="299"/>
      <c r="S1" s="299"/>
      <c r="T1" s="299"/>
      <c r="U1" s="299"/>
      <c r="V1" s="299"/>
      <c r="W1" s="299"/>
      <c r="X1" s="299"/>
      <c r="Y1" s="299"/>
      <c r="Z1" s="299"/>
      <c r="AA1" s="299"/>
      <c r="AB1" s="299"/>
      <c r="AC1" s="299"/>
      <c r="AD1" s="299"/>
      <c r="AE1" s="299"/>
      <c r="AF1" s="299"/>
      <c r="AG1" s="299"/>
      <c r="AH1" s="299"/>
      <c r="AI1" s="299"/>
      <c r="AJ1" s="299"/>
      <c r="AK1" s="299"/>
      <c r="AL1" s="299"/>
      <c r="AM1" s="299"/>
      <c r="AN1" s="301"/>
      <c r="AO1" s="301"/>
      <c r="AP1" s="299"/>
      <c r="AQ1" s="299"/>
      <c r="AR1" s="299"/>
      <c r="AS1" s="299"/>
      <c r="AT1" s="302" t="s">
        <v>1</v>
      </c>
      <c r="AU1" s="302"/>
      <c r="AV1" s="302"/>
      <c r="AW1" s="302"/>
      <c r="AX1" s="303"/>
    </row>
    <row r="2" spans="1:54" ht="14.25" customHeight="1" x14ac:dyDescent="0.25">
      <c r="A2" s="4"/>
      <c r="B2" s="63"/>
      <c r="C2" s="4"/>
      <c r="D2" s="67"/>
      <c r="E2" s="67"/>
      <c r="F2" s="3"/>
      <c r="G2" s="68"/>
      <c r="H2" s="68"/>
      <c r="I2" s="68"/>
      <c r="J2" s="63"/>
      <c r="K2" s="7"/>
      <c r="L2" s="7"/>
      <c r="M2" s="3"/>
      <c r="N2" s="3"/>
      <c r="O2" s="4"/>
      <c r="P2" s="4"/>
      <c r="Q2" s="4"/>
      <c r="AJ2" s="68"/>
      <c r="AK2" s="68"/>
      <c r="AL2" s="68"/>
      <c r="AM2" s="110"/>
      <c r="AP2" s="4"/>
      <c r="AQ2" s="4"/>
      <c r="AR2" s="4"/>
      <c r="AS2" s="4"/>
    </row>
    <row r="3" spans="1:54" ht="15.75" customHeight="1" thickBot="1" x14ac:dyDescent="0.3">
      <c r="A3" s="4"/>
      <c r="B3" s="63"/>
      <c r="C3" s="4"/>
      <c r="D3" s="67"/>
      <c r="E3" s="67"/>
      <c r="F3" s="3"/>
      <c r="G3" s="68"/>
      <c r="H3" s="68"/>
      <c r="I3" s="68"/>
      <c r="J3" s="63"/>
      <c r="K3" s="7"/>
      <c r="L3" s="7"/>
      <c r="M3" s="3"/>
      <c r="N3" s="3"/>
      <c r="O3" s="4"/>
      <c r="P3" s="4"/>
      <c r="Q3" s="4"/>
      <c r="AJ3" s="68"/>
      <c r="AK3" s="68"/>
      <c r="AL3" s="68"/>
      <c r="AM3" s="110"/>
      <c r="AP3" s="4"/>
      <c r="AQ3" s="4"/>
      <c r="AR3" s="4"/>
      <c r="AS3" s="4"/>
    </row>
    <row r="4" spans="1:54" s="4" customFormat="1" ht="28.5" customHeight="1" thickBot="1" x14ac:dyDescent="0.3">
      <c r="A4" s="84" t="s">
        <v>3</v>
      </c>
      <c r="B4" s="84" t="s">
        <v>4</v>
      </c>
      <c r="C4" s="84" t="s">
        <v>5</v>
      </c>
      <c r="D4" s="84" t="s">
        <v>6</v>
      </c>
      <c r="E4" s="84" t="s">
        <v>7</v>
      </c>
      <c r="F4" s="84" t="s">
        <v>8</v>
      </c>
      <c r="G4" s="298" t="s">
        <v>9</v>
      </c>
      <c r="H4" s="84" t="s">
        <v>10</v>
      </c>
      <c r="I4" s="84" t="s">
        <v>11</v>
      </c>
      <c r="J4" s="419" t="s">
        <v>12</v>
      </c>
      <c r="K4" s="84" t="s">
        <v>13</v>
      </c>
      <c r="L4" s="84" t="s">
        <v>13</v>
      </c>
      <c r="M4" s="84" t="s">
        <v>13</v>
      </c>
      <c r="N4" s="84" t="s">
        <v>13</v>
      </c>
      <c r="O4" s="84" t="s">
        <v>14</v>
      </c>
      <c r="P4" s="84" t="s">
        <v>15</v>
      </c>
      <c r="Q4" s="84" t="s">
        <v>16</v>
      </c>
      <c r="R4" s="395" t="s">
        <v>17</v>
      </c>
      <c r="S4" s="141"/>
      <c r="T4" s="141" t="s">
        <v>18</v>
      </c>
      <c r="U4" s="141"/>
      <c r="V4" s="141" t="s">
        <v>19</v>
      </c>
      <c r="W4" s="141"/>
      <c r="X4" s="141" t="s">
        <v>20</v>
      </c>
      <c r="Y4" s="141"/>
      <c r="Z4" s="141" t="s">
        <v>21</v>
      </c>
      <c r="AA4" s="141"/>
      <c r="AB4" s="141" t="s">
        <v>22</v>
      </c>
      <c r="AC4" s="141"/>
      <c r="AD4" s="141" t="s">
        <v>23</v>
      </c>
      <c r="AE4" s="141"/>
      <c r="AF4" s="141" t="s">
        <v>24</v>
      </c>
      <c r="AG4" s="141"/>
      <c r="AH4" s="141" t="s">
        <v>25</v>
      </c>
      <c r="AI4" s="393"/>
      <c r="AJ4" s="84" t="s">
        <v>26</v>
      </c>
      <c r="AK4" s="84"/>
      <c r="AL4" s="84" t="s">
        <v>27</v>
      </c>
      <c r="AM4" s="420"/>
      <c r="AN4" s="421" t="s">
        <v>28</v>
      </c>
      <c r="AO4" s="421"/>
      <c r="AP4" s="422" t="s">
        <v>29</v>
      </c>
      <c r="AQ4" s="422" t="s">
        <v>29</v>
      </c>
      <c r="AR4" s="422" t="s">
        <v>30</v>
      </c>
      <c r="AS4" s="423" t="s">
        <v>31</v>
      </c>
      <c r="AT4" s="396" t="s">
        <v>32</v>
      </c>
      <c r="AU4" s="152" t="s">
        <v>33</v>
      </c>
      <c r="AV4" s="153" t="s">
        <v>34</v>
      </c>
      <c r="AW4" s="141" t="s">
        <v>35</v>
      </c>
      <c r="AX4" s="141" t="s">
        <v>36</v>
      </c>
    </row>
    <row r="5" spans="1:54" s="63" customFormat="1" ht="90.75" hidden="1" customHeight="1" x14ac:dyDescent="0.25">
      <c r="A5" s="63" t="s">
        <v>37</v>
      </c>
      <c r="B5" s="63" t="s">
        <v>38</v>
      </c>
      <c r="D5" s="154" t="s">
        <v>39</v>
      </c>
      <c r="E5" s="154" t="s">
        <v>40</v>
      </c>
      <c r="F5" s="150" t="s">
        <v>41</v>
      </c>
      <c r="G5" s="155" t="s">
        <v>42</v>
      </c>
      <c r="H5" s="155" t="s">
        <v>43</v>
      </c>
      <c r="I5" s="155" t="s">
        <v>44</v>
      </c>
      <c r="J5" s="155" t="s">
        <v>45</v>
      </c>
      <c r="K5" s="150" t="s">
        <v>46</v>
      </c>
      <c r="L5" s="150" t="s">
        <v>47</v>
      </c>
      <c r="M5" s="150" t="s">
        <v>48</v>
      </c>
      <c r="N5" s="150"/>
      <c r="O5" s="155" t="s">
        <v>49</v>
      </c>
      <c r="P5" s="155" t="s">
        <v>50</v>
      </c>
      <c r="Q5" s="156">
        <v>1</v>
      </c>
      <c r="R5" s="155">
        <v>32119</v>
      </c>
      <c r="S5" s="155">
        <f>(1028*31)</f>
        <v>31868</v>
      </c>
      <c r="T5" s="157">
        <v>28931</v>
      </c>
      <c r="U5" s="157">
        <f>1030*28</f>
        <v>28840</v>
      </c>
      <c r="V5" s="150">
        <v>31880</v>
      </c>
      <c r="W5" s="155">
        <f>1051*31</f>
        <v>32581</v>
      </c>
      <c r="X5" s="155">
        <v>31428</v>
      </c>
      <c r="Y5" s="155">
        <f>1041*30</f>
        <v>31230</v>
      </c>
      <c r="Z5" s="155">
        <f>22719+9224</f>
        <v>31943</v>
      </c>
      <c r="AA5" s="155">
        <f>995*31</f>
        <v>30845</v>
      </c>
      <c r="AB5" s="158"/>
      <c r="AC5" s="158"/>
      <c r="AD5" s="155"/>
      <c r="AE5" s="155"/>
      <c r="AF5" s="155"/>
      <c r="AG5" s="155"/>
      <c r="AH5" s="155"/>
      <c r="AI5" s="155"/>
      <c r="AJ5" s="155"/>
      <c r="AK5" s="155"/>
      <c r="AL5" s="155"/>
      <c r="AM5" s="159"/>
      <c r="AN5" s="155"/>
      <c r="AO5" s="155"/>
      <c r="AP5" s="157">
        <f>R5+T5+V5+X5+Z5+AB5+AD5+AF5+AH5+AJ5+AL5+AN5</f>
        <v>156301</v>
      </c>
      <c r="AQ5" s="157">
        <f>S5+U5+W5+Y5+AA5+AC5+AE5+AG5+AI5+AK5+AM5+AO5</f>
        <v>155364</v>
      </c>
      <c r="AR5" s="160">
        <f>AP5/AQ5</f>
        <v>1.0060309981720348</v>
      </c>
      <c r="AS5" s="160">
        <f>IFERROR((R5+T5+V5)/(S5+U5+W5),"")</f>
        <v>0.99615174350673708</v>
      </c>
      <c r="AT5" s="160">
        <f>IFERROR((X5+Z5+AB5)/(Y5+AA5+AC5),"")</f>
        <v>1.0208779701973418</v>
      </c>
      <c r="AU5" s="160"/>
      <c r="AV5" s="160"/>
      <c r="AW5" s="161"/>
      <c r="AX5" s="162" t="s">
        <v>51</v>
      </c>
      <c r="AY5" s="64"/>
      <c r="AZ5" s="64" t="s">
        <v>39</v>
      </c>
      <c r="BA5" s="64" t="s">
        <v>52</v>
      </c>
    </row>
    <row r="6" spans="1:54" s="113" customFormat="1" ht="41.25" hidden="1" customHeight="1" x14ac:dyDescent="0.25">
      <c r="A6" s="128" t="s">
        <v>37</v>
      </c>
      <c r="B6" s="128" t="s">
        <v>53</v>
      </c>
      <c r="C6" s="128"/>
      <c r="D6" s="227" t="s">
        <v>54</v>
      </c>
      <c r="E6" s="227" t="s">
        <v>55</v>
      </c>
      <c r="F6" s="227" t="s">
        <v>56</v>
      </c>
      <c r="G6" s="227" t="s">
        <v>42</v>
      </c>
      <c r="H6" s="187" t="s">
        <v>43</v>
      </c>
      <c r="I6" s="227" t="s">
        <v>44</v>
      </c>
      <c r="J6" s="227" t="s">
        <v>45</v>
      </c>
      <c r="K6" s="227" t="s">
        <v>57</v>
      </c>
      <c r="L6" s="227" t="s">
        <v>58</v>
      </c>
      <c r="M6" s="227"/>
      <c r="N6" s="227"/>
      <c r="O6" s="227" t="s">
        <v>59</v>
      </c>
      <c r="P6" s="227" t="s">
        <v>50</v>
      </c>
      <c r="Q6" s="228"/>
      <c r="R6" s="104"/>
      <c r="S6" s="104"/>
      <c r="T6" s="104"/>
      <c r="U6" s="104"/>
      <c r="V6" s="104"/>
      <c r="W6" s="111"/>
      <c r="X6" s="104"/>
      <c r="Y6" s="111"/>
      <c r="Z6" s="104"/>
      <c r="AA6" s="104"/>
      <c r="AB6" s="104"/>
      <c r="AC6" s="104"/>
      <c r="AD6" s="104"/>
      <c r="AE6" s="129"/>
      <c r="AF6" s="116"/>
      <c r="AG6" s="116"/>
      <c r="AH6" s="118"/>
      <c r="AI6" s="117"/>
      <c r="AJ6" s="231"/>
      <c r="AK6" s="231"/>
      <c r="AL6" s="231"/>
      <c r="AM6" s="126"/>
      <c r="AN6" s="227"/>
      <c r="AO6" s="227"/>
      <c r="AP6" s="230"/>
      <c r="AQ6" s="230"/>
      <c r="AR6" s="231"/>
      <c r="AS6" s="232"/>
      <c r="AT6" s="118"/>
      <c r="AU6" s="118"/>
      <c r="AV6" s="118"/>
      <c r="AW6" s="119"/>
      <c r="AX6" s="196"/>
      <c r="AY6" s="192" t="s">
        <v>60</v>
      </c>
      <c r="AZ6" s="192" t="s">
        <v>61</v>
      </c>
      <c r="BA6" s="192" t="s">
        <v>60</v>
      </c>
    </row>
    <row r="7" spans="1:54" s="63" customFormat="1" ht="76.5" customHeight="1" x14ac:dyDescent="0.25">
      <c r="A7" s="364" t="s">
        <v>37</v>
      </c>
      <c r="B7" s="364" t="s">
        <v>63</v>
      </c>
      <c r="C7" s="364" t="s">
        <v>64</v>
      </c>
      <c r="D7" s="364" t="s">
        <v>65</v>
      </c>
      <c r="E7" s="364" t="s">
        <v>66</v>
      </c>
      <c r="F7" s="364" t="s">
        <v>67</v>
      </c>
      <c r="G7" s="364" t="s">
        <v>42</v>
      </c>
      <c r="H7" s="365" t="s">
        <v>43</v>
      </c>
      <c r="I7" s="364" t="s">
        <v>68</v>
      </c>
      <c r="J7" s="364" t="s">
        <v>69</v>
      </c>
      <c r="K7" s="364" t="s">
        <v>70</v>
      </c>
      <c r="L7" s="364"/>
      <c r="M7" s="364"/>
      <c r="N7" s="364"/>
      <c r="O7" s="365" t="s">
        <v>71</v>
      </c>
      <c r="P7" s="365" t="s">
        <v>72</v>
      </c>
      <c r="Q7" s="366">
        <v>30</v>
      </c>
      <c r="R7" s="169"/>
      <c r="S7" s="1"/>
      <c r="T7" s="1"/>
      <c r="U7" s="1"/>
      <c r="V7" s="1">
        <v>30</v>
      </c>
      <c r="W7" s="1"/>
      <c r="X7" s="2"/>
      <c r="Y7" s="2"/>
      <c r="Z7" s="2"/>
      <c r="AA7" s="2"/>
      <c r="AB7" s="5">
        <v>30</v>
      </c>
      <c r="AC7" s="5"/>
      <c r="AD7" s="2"/>
      <c r="AE7" s="2"/>
      <c r="AF7" s="2"/>
      <c r="AG7" s="2"/>
      <c r="AH7" s="2">
        <v>30</v>
      </c>
      <c r="AI7" s="218"/>
      <c r="AJ7" s="373"/>
      <c r="AK7" s="373"/>
      <c r="AL7" s="373"/>
      <c r="AM7" s="373"/>
      <c r="AN7" s="373">
        <v>30</v>
      </c>
      <c r="AO7" s="373"/>
      <c r="AP7" s="366"/>
      <c r="AQ7" s="366"/>
      <c r="AR7" s="366"/>
      <c r="AS7" s="102">
        <f>V7</f>
        <v>30</v>
      </c>
      <c r="AT7" s="398">
        <v>30</v>
      </c>
      <c r="AU7" s="52">
        <v>30</v>
      </c>
      <c r="AV7" s="49">
        <v>30</v>
      </c>
      <c r="AW7" s="194" t="s">
        <v>73</v>
      </c>
      <c r="AX7" s="193" t="s">
        <v>74</v>
      </c>
      <c r="AZ7" s="4"/>
      <c r="BA7" s="4"/>
    </row>
    <row r="8" spans="1:54" s="63" customFormat="1" ht="76.5" customHeight="1" x14ac:dyDescent="0.25">
      <c r="A8" s="364" t="s">
        <v>37</v>
      </c>
      <c r="B8" s="364" t="s">
        <v>63</v>
      </c>
      <c r="C8" s="364" t="s">
        <v>75</v>
      </c>
      <c r="D8" s="364" t="s">
        <v>76</v>
      </c>
      <c r="E8" s="364" t="s">
        <v>77</v>
      </c>
      <c r="F8" s="364" t="s">
        <v>67</v>
      </c>
      <c r="G8" s="364" t="s">
        <v>42</v>
      </c>
      <c r="H8" s="365" t="s">
        <v>43</v>
      </c>
      <c r="I8" s="364" t="s">
        <v>68</v>
      </c>
      <c r="J8" s="364" t="s">
        <v>69</v>
      </c>
      <c r="K8" s="364" t="s">
        <v>78</v>
      </c>
      <c r="L8" s="364"/>
      <c r="M8" s="364"/>
      <c r="N8" s="364"/>
      <c r="O8" s="365" t="s">
        <v>71</v>
      </c>
      <c r="P8" s="365" t="s">
        <v>72</v>
      </c>
      <c r="Q8" s="366">
        <v>16</v>
      </c>
      <c r="R8" s="169"/>
      <c r="S8" s="1"/>
      <c r="T8" s="1"/>
      <c r="U8" s="1"/>
      <c r="V8" s="1">
        <v>16</v>
      </c>
      <c r="W8" s="1"/>
      <c r="X8" s="2"/>
      <c r="Y8" s="2"/>
      <c r="Z8" s="2"/>
      <c r="AA8" s="2"/>
      <c r="AB8" s="5">
        <v>20</v>
      </c>
      <c r="AC8" s="5"/>
      <c r="AD8" s="2"/>
      <c r="AE8" s="2"/>
      <c r="AF8" s="2"/>
      <c r="AG8" s="2"/>
      <c r="AH8" s="2">
        <v>20</v>
      </c>
      <c r="AI8" s="218"/>
      <c r="AJ8" s="373"/>
      <c r="AK8" s="373"/>
      <c r="AL8" s="373"/>
      <c r="AM8" s="373"/>
      <c r="AN8" s="373">
        <v>16</v>
      </c>
      <c r="AO8" s="373"/>
      <c r="AP8" s="366"/>
      <c r="AQ8" s="366"/>
      <c r="AR8" s="366"/>
      <c r="AS8" s="102">
        <f>V8</f>
        <v>16</v>
      </c>
      <c r="AT8" s="398">
        <v>20</v>
      </c>
      <c r="AU8" s="52">
        <v>20</v>
      </c>
      <c r="AV8" s="109">
        <v>16</v>
      </c>
      <c r="AW8" s="194" t="s">
        <v>73</v>
      </c>
      <c r="AX8" s="193" t="s">
        <v>79</v>
      </c>
    </row>
    <row r="9" spans="1:54" ht="76.5" customHeight="1" x14ac:dyDescent="0.25">
      <c r="A9" s="365" t="s">
        <v>37</v>
      </c>
      <c r="B9" s="365" t="s">
        <v>63</v>
      </c>
      <c r="C9" s="365" t="s">
        <v>80</v>
      </c>
      <c r="D9" s="368" t="s">
        <v>81</v>
      </c>
      <c r="E9" s="369" t="s">
        <v>82</v>
      </c>
      <c r="F9" s="364" t="s">
        <v>67</v>
      </c>
      <c r="G9" s="368" t="s">
        <v>83</v>
      </c>
      <c r="H9" s="365" t="s">
        <v>43</v>
      </c>
      <c r="I9" s="368" t="s">
        <v>44</v>
      </c>
      <c r="J9" s="370" t="s">
        <v>69</v>
      </c>
      <c r="K9" s="369" t="s">
        <v>84</v>
      </c>
      <c r="L9" s="369" t="s">
        <v>85</v>
      </c>
      <c r="M9" s="371"/>
      <c r="N9" s="371"/>
      <c r="O9" s="368" t="s">
        <v>86</v>
      </c>
      <c r="P9" s="368" t="s">
        <v>72</v>
      </c>
      <c r="Q9" s="372">
        <v>1</v>
      </c>
      <c r="R9" s="397"/>
      <c r="S9" s="77"/>
      <c r="T9" s="77"/>
      <c r="U9" s="77"/>
      <c r="V9" s="78">
        <f>1352+19+2719+2365+10+31</f>
        <v>6496</v>
      </c>
      <c r="W9" s="78">
        <f>2365+21+33+12+1358+2725</f>
        <v>6514</v>
      </c>
      <c r="X9" s="77"/>
      <c r="Y9" s="77"/>
      <c r="Z9" s="78"/>
      <c r="AA9" s="78"/>
      <c r="AB9" s="5">
        <v>12573</v>
      </c>
      <c r="AC9" s="5">
        <v>12592</v>
      </c>
      <c r="AD9" s="5"/>
      <c r="AE9" s="2"/>
      <c r="AF9" s="2"/>
      <c r="AG9" s="1"/>
      <c r="AH9" s="5">
        <f>9382+216</f>
        <v>9598</v>
      </c>
      <c r="AI9" s="185">
        <f>229+9391</f>
        <v>9620</v>
      </c>
      <c r="AJ9" s="373"/>
      <c r="AK9" s="373"/>
      <c r="AL9" s="373"/>
      <c r="AM9" s="373"/>
      <c r="AN9" s="368">
        <v>8959</v>
      </c>
      <c r="AO9" s="368">
        <v>9078</v>
      </c>
      <c r="AP9" s="366"/>
      <c r="AQ9" s="366"/>
      <c r="AR9" s="50"/>
      <c r="AS9" s="89">
        <f>V9/W9</f>
        <v>0.99723672090881177</v>
      </c>
      <c r="AT9" s="399">
        <f>AB9/AC9</f>
        <v>0.9984911054637865</v>
      </c>
      <c r="AU9" s="89">
        <f>AH9/AI9</f>
        <v>0.99771309771309769</v>
      </c>
      <c r="AV9" s="89">
        <f>AN9/AO9</f>
        <v>0.98689138576779023</v>
      </c>
      <c r="AW9" s="194" t="s">
        <v>73</v>
      </c>
      <c r="AX9" s="193" t="s">
        <v>79</v>
      </c>
      <c r="AY9" s="191"/>
      <c r="AZ9" s="66"/>
      <c r="BA9" s="66"/>
    </row>
    <row r="10" spans="1:54" s="128" customFormat="1" ht="104.25" hidden="1" customHeight="1" x14ac:dyDescent="0.25">
      <c r="A10" s="63" t="s">
        <v>37</v>
      </c>
      <c r="B10" s="63" t="s">
        <v>38</v>
      </c>
      <c r="C10" s="113"/>
      <c r="D10" s="410" t="s">
        <v>87</v>
      </c>
      <c r="E10" s="410" t="s">
        <v>88</v>
      </c>
      <c r="F10" s="179" t="s">
        <v>41</v>
      </c>
      <c r="G10" s="243" t="s">
        <v>42</v>
      </c>
      <c r="H10" s="264" t="s">
        <v>89</v>
      </c>
      <c r="I10" s="243" t="s">
        <v>44</v>
      </c>
      <c r="J10" s="243" t="s">
        <v>45</v>
      </c>
      <c r="K10" s="202" t="s">
        <v>90</v>
      </c>
      <c r="L10" s="202" t="s">
        <v>91</v>
      </c>
      <c r="M10" s="202"/>
      <c r="N10" s="202"/>
      <c r="O10" s="243" t="s">
        <v>86</v>
      </c>
      <c r="P10" s="243" t="s">
        <v>50</v>
      </c>
      <c r="Q10" s="244">
        <v>0.11</v>
      </c>
      <c r="R10" s="104">
        <f>(27+16+27+12+6)*31</f>
        <v>2728</v>
      </c>
      <c r="S10" s="104">
        <v>32119</v>
      </c>
      <c r="T10" s="104">
        <f>(10+7+9+17+33+17+6)*28</f>
        <v>2772</v>
      </c>
      <c r="U10" s="104">
        <v>28931</v>
      </c>
      <c r="V10" s="111">
        <f>(13+7+24+34+19+5)*31</f>
        <v>3162</v>
      </c>
      <c r="W10" s="111">
        <v>31880</v>
      </c>
      <c r="X10" s="116"/>
      <c r="Y10" s="116"/>
      <c r="Z10" s="104"/>
      <c r="AA10" s="104"/>
      <c r="AB10" s="104"/>
      <c r="AC10" s="104"/>
      <c r="AD10" s="104"/>
      <c r="AE10" s="104"/>
      <c r="AF10" s="104"/>
      <c r="AG10" s="104"/>
      <c r="AH10" s="104"/>
      <c r="AI10" s="104"/>
      <c r="AJ10" s="243"/>
      <c r="AK10" s="243"/>
      <c r="AL10" s="243"/>
      <c r="AM10" s="246"/>
      <c r="AN10" s="243"/>
      <c r="AO10" s="243"/>
      <c r="AP10" s="246">
        <f>R10+T10+V10+X10+Z10+AB10+AD10+AF10+AH10+AJ10+AL10+AN10</f>
        <v>8662</v>
      </c>
      <c r="AQ10" s="246">
        <f>S10+U10+W10+Y10+AA10+AC10+AE10+AG10+AI10+AK10+AM10+AO10</f>
        <v>92930</v>
      </c>
      <c r="AR10" s="248">
        <f>AP10/AQ10</f>
        <v>9.3209942967825241E-2</v>
      </c>
      <c r="AS10" s="248">
        <f>IFERROR((R10+T10+V10)/(S10+U10+W10),"")</f>
        <v>9.3209942967825241E-2</v>
      </c>
      <c r="AT10" s="118"/>
      <c r="AU10" s="118"/>
      <c r="AV10" s="118"/>
      <c r="AW10" s="119"/>
      <c r="AX10" s="199" t="s">
        <v>92</v>
      </c>
      <c r="AY10" s="113"/>
      <c r="AZ10" s="134"/>
      <c r="BA10" s="113"/>
    </row>
    <row r="11" spans="1:54" s="4" customFormat="1" ht="76.5" customHeight="1" x14ac:dyDescent="0.25">
      <c r="A11" s="365" t="s">
        <v>37</v>
      </c>
      <c r="B11" s="365" t="s">
        <v>63</v>
      </c>
      <c r="C11" s="365" t="s">
        <v>93</v>
      </c>
      <c r="D11" s="365" t="s">
        <v>94</v>
      </c>
      <c r="E11" s="365" t="s">
        <v>95</v>
      </c>
      <c r="F11" s="364" t="s">
        <v>67</v>
      </c>
      <c r="G11" s="365" t="s">
        <v>83</v>
      </c>
      <c r="H11" s="365" t="s">
        <v>43</v>
      </c>
      <c r="I11" s="365" t="s">
        <v>44</v>
      </c>
      <c r="J11" s="364" t="s">
        <v>69</v>
      </c>
      <c r="K11" s="365" t="s">
        <v>96</v>
      </c>
      <c r="L11" s="365" t="s">
        <v>97</v>
      </c>
      <c r="M11" s="365"/>
      <c r="N11" s="365"/>
      <c r="O11" s="365" t="s">
        <v>86</v>
      </c>
      <c r="P11" s="365" t="s">
        <v>72</v>
      </c>
      <c r="Q11" s="374">
        <v>0.95</v>
      </c>
      <c r="R11" s="169"/>
      <c r="S11" s="1"/>
      <c r="T11" s="1"/>
      <c r="U11" s="1"/>
      <c r="V11" s="78">
        <v>72</v>
      </c>
      <c r="W11" s="78">
        <v>73</v>
      </c>
      <c r="X11" s="2"/>
      <c r="Y11" s="2"/>
      <c r="Z11" s="2"/>
      <c r="AA11" s="2"/>
      <c r="AB11" s="5">
        <v>100</v>
      </c>
      <c r="AC11" s="5">
        <v>100</v>
      </c>
      <c r="AD11" s="2"/>
      <c r="AE11" s="2"/>
      <c r="AF11" s="2"/>
      <c r="AG11" s="2"/>
      <c r="AH11" s="2">
        <v>203</v>
      </c>
      <c r="AI11" s="218">
        <v>203</v>
      </c>
      <c r="AJ11" s="373"/>
      <c r="AK11" s="373"/>
      <c r="AL11" s="373"/>
      <c r="AM11" s="373"/>
      <c r="AN11" s="365">
        <v>185</v>
      </c>
      <c r="AO11" s="365">
        <v>185</v>
      </c>
      <c r="AP11" s="366"/>
      <c r="AQ11" s="366"/>
      <c r="AR11" s="50"/>
      <c r="AS11" s="89">
        <f>V11/W11</f>
        <v>0.98630136986301364</v>
      </c>
      <c r="AT11" s="400">
        <f>AB11/AC11</f>
        <v>1</v>
      </c>
      <c r="AU11" s="89">
        <f>AH11/AI11</f>
        <v>1</v>
      </c>
      <c r="AV11" s="89">
        <f>AN11/AO11</f>
        <v>1</v>
      </c>
      <c r="AW11" s="194" t="s">
        <v>73</v>
      </c>
      <c r="AX11" s="193" t="s">
        <v>98</v>
      </c>
      <c r="AY11" s="63"/>
      <c r="AZ11" s="63"/>
      <c r="BA11" s="63"/>
    </row>
    <row r="12" spans="1:54" s="63" customFormat="1" ht="76.5" customHeight="1" x14ac:dyDescent="0.25">
      <c r="A12" s="365" t="s">
        <v>37</v>
      </c>
      <c r="B12" s="365" t="s">
        <v>63</v>
      </c>
      <c r="C12" s="365" t="s">
        <v>99</v>
      </c>
      <c r="D12" s="365" t="s">
        <v>100</v>
      </c>
      <c r="E12" s="365" t="s">
        <v>101</v>
      </c>
      <c r="F12" s="364" t="s">
        <v>67</v>
      </c>
      <c r="G12" s="365" t="s">
        <v>83</v>
      </c>
      <c r="H12" s="365" t="s">
        <v>43</v>
      </c>
      <c r="I12" s="365" t="s">
        <v>44</v>
      </c>
      <c r="J12" s="364" t="s">
        <v>102</v>
      </c>
      <c r="K12" s="365" t="s">
        <v>103</v>
      </c>
      <c r="L12" s="365" t="s">
        <v>104</v>
      </c>
      <c r="M12" s="365"/>
      <c r="N12" s="365"/>
      <c r="O12" s="365" t="s">
        <v>105</v>
      </c>
      <c r="P12" s="365" t="s">
        <v>72</v>
      </c>
      <c r="Q12" s="374">
        <v>0.85</v>
      </c>
      <c r="R12" s="99"/>
      <c r="S12" s="5"/>
      <c r="T12" s="5"/>
      <c r="U12" s="5"/>
      <c r="V12" s="5"/>
      <c r="W12" s="5"/>
      <c r="X12" s="77"/>
      <c r="Y12" s="77"/>
      <c r="Z12" s="2"/>
      <c r="AA12" s="2"/>
      <c r="AB12" s="164">
        <v>163.68</v>
      </c>
      <c r="AC12" s="2">
        <v>174</v>
      </c>
      <c r="AD12" s="2"/>
      <c r="AE12" s="2"/>
      <c r="AF12" s="102"/>
      <c r="AG12" s="102"/>
      <c r="AH12" s="2"/>
      <c r="AI12" s="218"/>
      <c r="AJ12" s="373"/>
      <c r="AK12" s="373"/>
      <c r="AL12" s="373"/>
      <c r="AM12" s="373"/>
      <c r="AN12" s="374">
        <v>148.16</v>
      </c>
      <c r="AO12" s="365">
        <v>154</v>
      </c>
      <c r="AP12" s="366"/>
      <c r="AQ12" s="366"/>
      <c r="AR12" s="93"/>
      <c r="AS12" s="50"/>
      <c r="AT12" s="399">
        <f>AB12/AC12</f>
        <v>0.94068965517241387</v>
      </c>
      <c r="AU12" s="89"/>
      <c r="AV12" s="294">
        <f>AN12/AO12</f>
        <v>0.96207792207792209</v>
      </c>
      <c r="AW12" s="195" t="s">
        <v>73</v>
      </c>
      <c r="AX12" s="193" t="s">
        <v>79</v>
      </c>
      <c r="AY12" s="4"/>
      <c r="BB12" s="66"/>
    </row>
    <row r="13" spans="1:54" s="131" customFormat="1" ht="50.25" customHeight="1" x14ac:dyDescent="0.25">
      <c r="A13" s="365" t="s">
        <v>37</v>
      </c>
      <c r="B13" s="365" t="s">
        <v>63</v>
      </c>
      <c r="C13" s="365" t="s">
        <v>106</v>
      </c>
      <c r="D13" s="368" t="s">
        <v>107</v>
      </c>
      <c r="E13" s="368" t="s">
        <v>108</v>
      </c>
      <c r="F13" s="364" t="s">
        <v>67</v>
      </c>
      <c r="G13" s="368" t="s">
        <v>109</v>
      </c>
      <c r="H13" s="365" t="s">
        <v>43</v>
      </c>
      <c r="I13" s="368" t="s">
        <v>68</v>
      </c>
      <c r="J13" s="370" t="s">
        <v>69</v>
      </c>
      <c r="K13" s="368" t="s">
        <v>110</v>
      </c>
      <c r="L13" s="368"/>
      <c r="M13" s="368"/>
      <c r="N13" s="368"/>
      <c r="O13" s="368" t="s">
        <v>71</v>
      </c>
      <c r="P13" s="368" t="s">
        <v>72</v>
      </c>
      <c r="Q13" s="366">
        <v>90</v>
      </c>
      <c r="R13" s="171"/>
      <c r="S13" s="78"/>
      <c r="T13" s="78"/>
      <c r="U13" s="78"/>
      <c r="V13" s="78">
        <v>70</v>
      </c>
      <c r="W13" s="78"/>
      <c r="X13" s="78"/>
      <c r="Y13" s="165"/>
      <c r="Z13" s="78"/>
      <c r="AA13" s="78"/>
      <c r="AB13" s="5">
        <v>70</v>
      </c>
      <c r="AC13" s="5"/>
      <c r="AD13" s="5"/>
      <c r="AE13" s="5"/>
      <c r="AF13" s="5"/>
      <c r="AG13" s="43"/>
      <c r="AH13" s="5">
        <v>85</v>
      </c>
      <c r="AI13" s="185"/>
      <c r="AJ13" s="365"/>
      <c r="AK13" s="365"/>
      <c r="AL13" s="365"/>
      <c r="AM13" s="365"/>
      <c r="AN13" s="365">
        <v>90</v>
      </c>
      <c r="AO13" s="365"/>
      <c r="AP13" s="366"/>
      <c r="AQ13" s="366"/>
      <c r="AR13" s="93"/>
      <c r="AS13" s="102">
        <f>V13</f>
        <v>70</v>
      </c>
      <c r="AT13" s="398">
        <v>70</v>
      </c>
      <c r="AU13" s="102">
        <v>85</v>
      </c>
      <c r="AV13" s="102">
        <v>90</v>
      </c>
      <c r="AW13" s="194" t="s">
        <v>73</v>
      </c>
      <c r="AX13" s="193" t="s">
        <v>79</v>
      </c>
      <c r="AY13" s="4"/>
      <c r="AZ13" s="4"/>
      <c r="BA13" s="4"/>
      <c r="BB13" s="63"/>
    </row>
    <row r="14" spans="1:54" s="66" customFormat="1" ht="93.75" hidden="1" customHeight="1" x14ac:dyDescent="0.25">
      <c r="A14" s="63" t="s">
        <v>37</v>
      </c>
      <c r="B14" s="4" t="s">
        <v>63</v>
      </c>
      <c r="C14" s="131"/>
      <c r="D14" s="391" t="s">
        <v>111</v>
      </c>
      <c r="E14" s="391" t="s">
        <v>112</v>
      </c>
      <c r="F14" s="150" t="s">
        <v>67</v>
      </c>
      <c r="G14" s="259" t="s">
        <v>42</v>
      </c>
      <c r="H14" s="255" t="s">
        <v>113</v>
      </c>
      <c r="I14" s="259" t="s">
        <v>44</v>
      </c>
      <c r="J14" s="259" t="s">
        <v>69</v>
      </c>
      <c r="K14" s="391" t="s">
        <v>114</v>
      </c>
      <c r="L14" s="391" t="s">
        <v>115</v>
      </c>
      <c r="M14" s="259"/>
      <c r="N14" s="259"/>
      <c r="O14" s="257" t="s">
        <v>86</v>
      </c>
      <c r="P14" s="257" t="s">
        <v>50</v>
      </c>
      <c r="Q14" s="258"/>
      <c r="R14" s="105"/>
      <c r="S14" s="105"/>
      <c r="T14" s="105"/>
      <c r="U14" s="105"/>
      <c r="V14" s="105"/>
      <c r="W14" s="105"/>
      <c r="X14" s="105"/>
      <c r="Y14" s="105"/>
      <c r="Z14" s="105"/>
      <c r="AA14" s="105"/>
      <c r="AB14" s="105"/>
      <c r="AC14" s="105"/>
      <c r="AD14" s="105"/>
      <c r="AE14" s="105"/>
      <c r="AF14" s="105"/>
      <c r="AG14" s="105"/>
      <c r="AH14" s="105"/>
      <c r="AI14" s="105"/>
      <c r="AJ14" s="259"/>
      <c r="AK14" s="259"/>
      <c r="AL14" s="259"/>
      <c r="AM14" s="259"/>
      <c r="AN14" s="259"/>
      <c r="AO14" s="259"/>
      <c r="AP14" s="392"/>
      <c r="AQ14" s="392"/>
      <c r="AR14" s="392"/>
      <c r="AS14" s="392"/>
      <c r="AT14" s="133"/>
      <c r="AU14" s="133"/>
      <c r="AV14" s="133"/>
      <c r="AW14" s="117"/>
      <c r="AX14" s="200"/>
      <c r="AY14" s="105"/>
      <c r="AZ14" s="131"/>
      <c r="BA14" s="131"/>
      <c r="BB14" s="131"/>
    </row>
    <row r="15" spans="1:54" s="66" customFormat="1" ht="93.75" hidden="1" customHeight="1" x14ac:dyDescent="0.25">
      <c r="A15" s="63" t="s">
        <v>37</v>
      </c>
      <c r="B15" s="4" t="s">
        <v>63</v>
      </c>
      <c r="C15" s="4" t="s">
        <v>116</v>
      </c>
      <c r="D15" s="108" t="s">
        <v>117</v>
      </c>
      <c r="E15" s="5" t="s">
        <v>118</v>
      </c>
      <c r="F15" s="5" t="s">
        <v>67</v>
      </c>
      <c r="G15" s="5" t="s">
        <v>42</v>
      </c>
      <c r="H15" s="5" t="s">
        <v>43</v>
      </c>
      <c r="I15" s="5" t="s">
        <v>44</v>
      </c>
      <c r="J15" s="5" t="s">
        <v>69</v>
      </c>
      <c r="K15" s="5" t="s">
        <v>119</v>
      </c>
      <c r="L15" s="5" t="s">
        <v>120</v>
      </c>
      <c r="M15" s="5"/>
      <c r="N15" s="5"/>
      <c r="O15" s="5" t="s">
        <v>86</v>
      </c>
      <c r="P15" s="5" t="s">
        <v>50</v>
      </c>
      <c r="Q15" s="95">
        <v>1</v>
      </c>
      <c r="R15" s="5"/>
      <c r="S15" s="5"/>
      <c r="T15" s="5"/>
      <c r="U15" s="5"/>
      <c r="V15" s="100"/>
      <c r="W15" s="100"/>
      <c r="X15" s="2"/>
      <c r="Y15" s="2"/>
      <c r="Z15" s="2"/>
      <c r="AA15" s="2"/>
      <c r="AB15" s="5"/>
      <c r="AC15" s="5"/>
      <c r="AD15" s="5"/>
      <c r="AE15" s="5"/>
      <c r="AF15" s="5"/>
      <c r="AG15" s="5"/>
      <c r="AH15" s="5"/>
      <c r="AI15" s="5"/>
      <c r="AJ15" s="2"/>
      <c r="AK15" s="2"/>
      <c r="AL15" s="2"/>
      <c r="AM15" s="2"/>
      <c r="AN15" s="5"/>
      <c r="AO15" s="5"/>
      <c r="AP15" s="52"/>
      <c r="AQ15" s="52"/>
      <c r="AR15" s="50"/>
      <c r="AS15" s="89"/>
      <c r="AT15" s="89"/>
      <c r="AU15" s="89"/>
      <c r="AV15" s="89"/>
      <c r="AW15" s="94"/>
      <c r="AX15" s="69" t="s">
        <v>121</v>
      </c>
      <c r="AY15" s="63"/>
    </row>
    <row r="16" spans="1:54" s="70" customFormat="1" ht="93.75" hidden="1" customHeight="1" x14ac:dyDescent="0.25">
      <c r="A16" s="63" t="s">
        <v>37</v>
      </c>
      <c r="B16" s="4" t="s">
        <v>63</v>
      </c>
      <c r="C16" s="4"/>
      <c r="D16" s="411" t="s">
        <v>122</v>
      </c>
      <c r="E16" s="187" t="s">
        <v>123</v>
      </c>
      <c r="F16" s="187" t="s">
        <v>67</v>
      </c>
      <c r="G16" s="187" t="s">
        <v>42</v>
      </c>
      <c r="H16" s="187" t="s">
        <v>43</v>
      </c>
      <c r="I16" s="187" t="s">
        <v>44</v>
      </c>
      <c r="J16" s="187" t="s">
        <v>69</v>
      </c>
      <c r="K16" s="187" t="s">
        <v>124</v>
      </c>
      <c r="L16" s="187" t="s">
        <v>125</v>
      </c>
      <c r="M16" s="187"/>
      <c r="N16" s="187"/>
      <c r="O16" s="187" t="s">
        <v>86</v>
      </c>
      <c r="P16" s="187" t="s">
        <v>50</v>
      </c>
      <c r="Q16" s="412">
        <v>1</v>
      </c>
      <c r="R16" s="5"/>
      <c r="S16" s="5"/>
      <c r="T16" s="5"/>
      <c r="U16" s="5"/>
      <c r="V16" s="100"/>
      <c r="W16" s="100"/>
      <c r="X16" s="2"/>
      <c r="Y16" s="2"/>
      <c r="Z16" s="2"/>
      <c r="AA16" s="2"/>
      <c r="AB16" s="1"/>
      <c r="AC16" s="1"/>
      <c r="AD16" s="2"/>
      <c r="AE16" s="2"/>
      <c r="AF16" s="2"/>
      <c r="AG16" s="2"/>
      <c r="AH16" s="5"/>
      <c r="AI16" s="5"/>
      <c r="AJ16" s="239"/>
      <c r="AK16" s="239"/>
      <c r="AL16" s="239"/>
      <c r="AM16" s="239"/>
      <c r="AN16" s="187"/>
      <c r="AO16" s="187"/>
      <c r="AP16" s="224"/>
      <c r="AQ16" s="224"/>
      <c r="AR16" s="225"/>
      <c r="AS16" s="184"/>
      <c r="AT16" s="89"/>
      <c r="AU16" s="89"/>
      <c r="AV16" s="89"/>
      <c r="AW16" s="94"/>
      <c r="AX16" s="198" t="s">
        <v>121</v>
      </c>
      <c r="AY16" s="63"/>
      <c r="AZ16" s="101"/>
    </row>
    <row r="17" spans="1:54" s="63" customFormat="1" ht="93" customHeight="1" x14ac:dyDescent="0.25">
      <c r="A17" s="364" t="s">
        <v>37</v>
      </c>
      <c r="B17" s="364" t="s">
        <v>126</v>
      </c>
      <c r="C17" s="364" t="s">
        <v>127</v>
      </c>
      <c r="D17" s="364" t="s">
        <v>128</v>
      </c>
      <c r="E17" s="364" t="s">
        <v>129</v>
      </c>
      <c r="F17" s="364" t="s">
        <v>130</v>
      </c>
      <c r="G17" s="364" t="s">
        <v>83</v>
      </c>
      <c r="H17" s="365" t="s">
        <v>43</v>
      </c>
      <c r="I17" s="364" t="s">
        <v>44</v>
      </c>
      <c r="J17" s="364" t="s">
        <v>69</v>
      </c>
      <c r="K17" s="364" t="s">
        <v>131</v>
      </c>
      <c r="L17" s="364" t="s">
        <v>132</v>
      </c>
      <c r="M17" s="364"/>
      <c r="N17" s="364"/>
      <c r="O17" s="365" t="s">
        <v>86</v>
      </c>
      <c r="P17" s="365" t="s">
        <v>72</v>
      </c>
      <c r="Q17" s="374">
        <v>1</v>
      </c>
      <c r="R17" s="169"/>
      <c r="S17" s="1"/>
      <c r="T17" s="1"/>
      <c r="U17" s="1"/>
      <c r="V17" s="1">
        <v>70</v>
      </c>
      <c r="W17" s="1">
        <v>80</v>
      </c>
      <c r="X17" s="2"/>
      <c r="Y17" s="2"/>
      <c r="Z17" s="2"/>
      <c r="AA17" s="2"/>
      <c r="AB17" s="1">
        <v>137</v>
      </c>
      <c r="AC17" s="1">
        <v>147</v>
      </c>
      <c r="AD17" s="2"/>
      <c r="AE17" s="2"/>
      <c r="AF17" s="2"/>
      <c r="AG17" s="2"/>
      <c r="AH17" s="1">
        <v>139</v>
      </c>
      <c r="AI17" s="220">
        <v>150</v>
      </c>
      <c r="AJ17" s="373"/>
      <c r="AK17" s="373"/>
      <c r="AL17" s="373"/>
      <c r="AM17" s="373"/>
      <c r="AN17" s="364">
        <v>141</v>
      </c>
      <c r="AO17" s="364">
        <v>162</v>
      </c>
      <c r="AP17" s="366">
        <f>(V17+AB17+AH17+AN17)</f>
        <v>487</v>
      </c>
      <c r="AQ17" s="366">
        <f>(W17+AC17+AI17+AO17)</f>
        <v>539</v>
      </c>
      <c r="AR17" s="50">
        <f>AP17/AQ17</f>
        <v>0.90352504638218922</v>
      </c>
      <c r="AS17" s="89">
        <f>V17/W17</f>
        <v>0.875</v>
      </c>
      <c r="AT17" s="399">
        <f>AB17/AC17</f>
        <v>0.93197278911564629</v>
      </c>
      <c r="AU17" s="89">
        <f>AH17/AI17</f>
        <v>0.92666666666666664</v>
      </c>
      <c r="AV17" s="89">
        <f>IFERROR(AN17/AO17,"0")</f>
        <v>0.87037037037037035</v>
      </c>
      <c r="AW17" s="194" t="s">
        <v>73</v>
      </c>
      <c r="AX17" s="175" t="s">
        <v>133</v>
      </c>
    </row>
    <row r="18" spans="1:54" s="63" customFormat="1" ht="99.75" customHeight="1" x14ac:dyDescent="0.25">
      <c r="A18" s="365" t="s">
        <v>135</v>
      </c>
      <c r="B18" s="364" t="s">
        <v>136</v>
      </c>
      <c r="C18" s="364" t="s">
        <v>137</v>
      </c>
      <c r="D18" s="375" t="s">
        <v>138</v>
      </c>
      <c r="E18" s="375" t="s">
        <v>139</v>
      </c>
      <c r="F18" s="375" t="s">
        <v>140</v>
      </c>
      <c r="G18" s="366" t="s">
        <v>141</v>
      </c>
      <c r="H18" s="365" t="s">
        <v>43</v>
      </c>
      <c r="I18" s="366" t="s">
        <v>44</v>
      </c>
      <c r="J18" s="376" t="s">
        <v>142</v>
      </c>
      <c r="K18" s="375" t="s">
        <v>143</v>
      </c>
      <c r="L18" s="375" t="s">
        <v>144</v>
      </c>
      <c r="M18" s="375"/>
      <c r="N18" s="375"/>
      <c r="O18" s="366" t="s">
        <v>86</v>
      </c>
      <c r="P18" s="366" t="s">
        <v>72</v>
      </c>
      <c r="Q18" s="50">
        <v>1</v>
      </c>
      <c r="R18" s="170">
        <v>706</v>
      </c>
      <c r="S18" s="52">
        <v>766</v>
      </c>
      <c r="T18" s="52">
        <v>866</v>
      </c>
      <c r="U18" s="52">
        <v>915</v>
      </c>
      <c r="V18" s="102">
        <v>1035</v>
      </c>
      <c r="W18" s="52">
        <v>1145</v>
      </c>
      <c r="X18" s="52">
        <v>821</v>
      </c>
      <c r="Y18" s="52">
        <v>905</v>
      </c>
      <c r="Z18" s="52">
        <v>939</v>
      </c>
      <c r="AA18" s="52">
        <v>1024</v>
      </c>
      <c r="AB18" s="52">
        <v>919</v>
      </c>
      <c r="AC18" s="78">
        <v>1082</v>
      </c>
      <c r="AD18" s="78">
        <v>848</v>
      </c>
      <c r="AE18" s="78">
        <v>1028</v>
      </c>
      <c r="AF18" s="78">
        <v>846</v>
      </c>
      <c r="AG18" s="78">
        <v>997</v>
      </c>
      <c r="AH18" s="78">
        <v>922</v>
      </c>
      <c r="AI18" s="394">
        <v>988</v>
      </c>
      <c r="AJ18" s="366">
        <v>793</v>
      </c>
      <c r="AK18" s="366">
        <v>887</v>
      </c>
      <c r="AL18" s="366">
        <v>870</v>
      </c>
      <c r="AM18" s="366">
        <v>938</v>
      </c>
      <c r="AN18" s="366"/>
      <c r="AO18" s="366"/>
      <c r="AP18" s="366">
        <f t="shared" ref="AP18:AQ20" si="0">R18+T18+V18+X18+Z18+AB18+AD18+AF18+AH18+AJ18+AL18+AN18</f>
        <v>9565</v>
      </c>
      <c r="AQ18" s="366">
        <f t="shared" si="0"/>
        <v>10675</v>
      </c>
      <c r="AR18" s="89">
        <f>AP18/AQ18</f>
        <v>0.8960187353629977</v>
      </c>
      <c r="AS18" s="89">
        <f>IFERROR((R18+T18+V18)/(U18+S18+W18),"")</f>
        <v>0.92250530785562634</v>
      </c>
      <c r="AT18" s="401">
        <f>IFERROR((X18+Z18+AB18)/(Y18+AA18+AC18),"")</f>
        <v>0.88973762869478579</v>
      </c>
      <c r="AU18" s="89">
        <f>IFERROR((AD18+AF18+AH18)/(AE18+AG18+AI18),"")</f>
        <v>0.8682376369067375</v>
      </c>
      <c r="AV18" s="89">
        <f>IFERROR((AJ18+AL18+AN18)/(AK18+AM18+AO18),"")</f>
        <v>0.91123287671232878</v>
      </c>
      <c r="AW18" s="94" t="s">
        <v>73</v>
      </c>
      <c r="AX18" s="201" t="s">
        <v>145</v>
      </c>
      <c r="AY18" s="66"/>
      <c r="AZ18" s="66"/>
      <c r="BA18" s="66"/>
    </row>
    <row r="19" spans="1:54" s="63" customFormat="1" ht="93" customHeight="1" x14ac:dyDescent="0.25">
      <c r="A19" s="365" t="s">
        <v>135</v>
      </c>
      <c r="B19" s="364" t="s">
        <v>136</v>
      </c>
      <c r="C19" s="364" t="s">
        <v>146</v>
      </c>
      <c r="D19" s="366" t="s">
        <v>147</v>
      </c>
      <c r="E19" s="366" t="s">
        <v>148</v>
      </c>
      <c r="F19" s="366" t="s">
        <v>140</v>
      </c>
      <c r="G19" s="366" t="s">
        <v>149</v>
      </c>
      <c r="H19" s="365" t="s">
        <v>43</v>
      </c>
      <c r="I19" s="366" t="s">
        <v>44</v>
      </c>
      <c r="J19" s="376" t="s">
        <v>150</v>
      </c>
      <c r="K19" s="366" t="s">
        <v>151</v>
      </c>
      <c r="L19" s="366" t="s">
        <v>152</v>
      </c>
      <c r="M19" s="366"/>
      <c r="N19" s="366"/>
      <c r="O19" s="366" t="s">
        <v>86</v>
      </c>
      <c r="P19" s="366" t="s">
        <v>72</v>
      </c>
      <c r="Q19" s="50">
        <v>0.5</v>
      </c>
      <c r="R19" s="170"/>
      <c r="S19" s="52"/>
      <c r="T19" s="52">
        <v>78</v>
      </c>
      <c r="U19" s="52">
        <v>176</v>
      </c>
      <c r="V19" s="52"/>
      <c r="W19" s="52"/>
      <c r="X19" s="52">
        <v>91</v>
      </c>
      <c r="Y19" s="166">
        <v>194</v>
      </c>
      <c r="Z19" s="43"/>
      <c r="AA19" s="52"/>
      <c r="AB19" s="52">
        <v>87</v>
      </c>
      <c r="AC19" s="52">
        <v>191</v>
      </c>
      <c r="AD19" s="78"/>
      <c r="AE19" s="78"/>
      <c r="AF19" s="78">
        <v>96</v>
      </c>
      <c r="AG19" s="78">
        <v>175</v>
      </c>
      <c r="AH19" s="78"/>
      <c r="AI19" s="394"/>
      <c r="AJ19" s="368">
        <v>114</v>
      </c>
      <c r="AK19" s="368">
        <f>87+92</f>
        <v>179</v>
      </c>
      <c r="AL19" s="368"/>
      <c r="AM19" s="368"/>
      <c r="AN19" s="368"/>
      <c r="AO19" s="368"/>
      <c r="AP19" s="366">
        <f t="shared" si="0"/>
        <v>466</v>
      </c>
      <c r="AQ19" s="366">
        <f t="shared" si="0"/>
        <v>915</v>
      </c>
      <c r="AR19" s="89">
        <f>AP19/AQ19</f>
        <v>0.50928961748633883</v>
      </c>
      <c r="AS19" s="89">
        <f>IFERROR((R19+T19+V19)/(U19+S19+W19),"")</f>
        <v>0.44318181818181818</v>
      </c>
      <c r="AT19" s="402">
        <f>IFERROR((X19+Z19+AB19)/(Y19+AA19+AC19),"")</f>
        <v>0.46233766233766233</v>
      </c>
      <c r="AU19" s="184">
        <f>IFERROR((AD19+AF19+AH19)/(AE19+AG19+AI19),"")</f>
        <v>0.5485714285714286</v>
      </c>
      <c r="AV19" s="184">
        <f>IFERROR((AJ19+AL19+AN19)/(AK19+AM19+AO19),"")</f>
        <v>0.63687150837988826</v>
      </c>
      <c r="AW19" s="226" t="s">
        <v>73</v>
      </c>
      <c r="AX19" s="188" t="s">
        <v>153</v>
      </c>
      <c r="AY19" s="66"/>
      <c r="AZ19" s="70"/>
    </row>
    <row r="20" spans="1:54" s="63" customFormat="1" ht="93" customHeight="1" x14ac:dyDescent="0.25">
      <c r="A20" s="365" t="s">
        <v>135</v>
      </c>
      <c r="B20" s="364" t="s">
        <v>136</v>
      </c>
      <c r="C20" s="364" t="s">
        <v>154</v>
      </c>
      <c r="D20" s="366" t="s">
        <v>155</v>
      </c>
      <c r="E20" s="366" t="s">
        <v>156</v>
      </c>
      <c r="F20" s="366" t="s">
        <v>140</v>
      </c>
      <c r="G20" s="366" t="s">
        <v>83</v>
      </c>
      <c r="H20" s="365" t="s">
        <v>43</v>
      </c>
      <c r="I20" s="366" t="s">
        <v>44</v>
      </c>
      <c r="J20" s="376" t="s">
        <v>150</v>
      </c>
      <c r="K20" s="366" t="s">
        <v>157</v>
      </c>
      <c r="L20" s="366" t="s">
        <v>158</v>
      </c>
      <c r="M20" s="366"/>
      <c r="N20" s="366"/>
      <c r="O20" s="366" t="s">
        <v>86</v>
      </c>
      <c r="P20" s="366" t="s">
        <v>72</v>
      </c>
      <c r="Q20" s="50">
        <v>0.8</v>
      </c>
      <c r="R20" s="170"/>
      <c r="S20" s="52"/>
      <c r="T20" s="52">
        <v>4776</v>
      </c>
      <c r="U20" s="52">
        <v>5286</v>
      </c>
      <c r="V20" s="52"/>
      <c r="W20" s="52"/>
      <c r="X20" s="52">
        <v>5853</v>
      </c>
      <c r="Y20" s="52">
        <v>5980</v>
      </c>
      <c r="Z20" s="44"/>
      <c r="AA20" s="52"/>
      <c r="AB20" s="52">
        <v>8504</v>
      </c>
      <c r="AC20" s="170">
        <v>8519</v>
      </c>
      <c r="AD20" s="171"/>
      <c r="AE20" s="171"/>
      <c r="AF20" s="171">
        <v>7868</v>
      </c>
      <c r="AG20" s="171">
        <v>7890</v>
      </c>
      <c r="AH20" s="171"/>
      <c r="AI20" s="216"/>
      <c r="AJ20" s="368">
        <v>6754</v>
      </c>
      <c r="AK20" s="368">
        <v>6787</v>
      </c>
      <c r="AL20" s="368"/>
      <c r="AM20" s="368"/>
      <c r="AN20" s="368"/>
      <c r="AO20" s="368"/>
      <c r="AP20" s="366">
        <f t="shared" si="0"/>
        <v>33755</v>
      </c>
      <c r="AQ20" s="366">
        <f t="shared" si="0"/>
        <v>34462</v>
      </c>
      <c r="AR20" s="89">
        <f>AP20/AQ20</f>
        <v>0.97948464975915506</v>
      </c>
      <c r="AS20" s="89">
        <f>IFERROR((R20+T20+V20)/(U20+S20+W20),"")</f>
        <v>0.9035187287173666</v>
      </c>
      <c r="AT20" s="403">
        <f>IFERROR((X20+Z20+AB20)/(Y20+AA20+AC20),"")</f>
        <v>0.99020622111869783</v>
      </c>
      <c r="AU20" s="210">
        <f>(AF20/AG20)</f>
        <v>0.99721166032953101</v>
      </c>
      <c r="AV20" s="210">
        <f>IFERROR((AJ20+AL20+AN20)/(AK20+AM20+AO20),"")</f>
        <v>0.99513776337115067</v>
      </c>
      <c r="AW20" s="211" t="s">
        <v>73</v>
      </c>
      <c r="AX20" s="176" t="s">
        <v>159</v>
      </c>
      <c r="AY20" s="66"/>
      <c r="AZ20" s="70"/>
      <c r="BA20" s="66"/>
    </row>
    <row r="21" spans="1:54" s="63" customFormat="1" ht="93" customHeight="1" x14ac:dyDescent="0.25">
      <c r="A21" s="364" t="s">
        <v>160</v>
      </c>
      <c r="B21" s="364" t="s">
        <v>161</v>
      </c>
      <c r="C21" s="364" t="s">
        <v>162</v>
      </c>
      <c r="D21" s="364" t="s">
        <v>163</v>
      </c>
      <c r="E21" s="364" t="s">
        <v>164</v>
      </c>
      <c r="F21" s="364" t="s">
        <v>165</v>
      </c>
      <c r="G21" s="364" t="s">
        <v>42</v>
      </c>
      <c r="H21" s="365" t="s">
        <v>43</v>
      </c>
      <c r="I21" s="364" t="s">
        <v>44</v>
      </c>
      <c r="J21" s="364" t="s">
        <v>69</v>
      </c>
      <c r="K21" s="364" t="s">
        <v>166</v>
      </c>
      <c r="L21" s="364" t="s">
        <v>167</v>
      </c>
      <c r="M21" s="364"/>
      <c r="N21" s="364"/>
      <c r="O21" s="365" t="s">
        <v>86</v>
      </c>
      <c r="P21" s="365" t="s">
        <v>72</v>
      </c>
      <c r="Q21" s="374">
        <v>1</v>
      </c>
      <c r="R21" s="169"/>
      <c r="S21" s="1"/>
      <c r="T21" s="1"/>
      <c r="U21" s="1"/>
      <c r="V21" s="1">
        <v>36</v>
      </c>
      <c r="W21" s="1">
        <v>36</v>
      </c>
      <c r="X21" s="2"/>
      <c r="Y21" s="2"/>
      <c r="Z21" s="2"/>
      <c r="AA21" s="2"/>
      <c r="AB21" s="5">
        <v>41</v>
      </c>
      <c r="AC21" s="5">
        <v>41</v>
      </c>
      <c r="AD21" s="136"/>
      <c r="AE21" s="136"/>
      <c r="AF21" s="136"/>
      <c r="AG21" s="136"/>
      <c r="AH21" s="136">
        <v>46</v>
      </c>
      <c r="AI21" s="217">
        <v>46</v>
      </c>
      <c r="AJ21" s="373"/>
      <c r="AK21" s="373"/>
      <c r="AL21" s="373"/>
      <c r="AM21" s="373"/>
      <c r="AN21" s="365">
        <v>38</v>
      </c>
      <c r="AO21" s="365">
        <v>38</v>
      </c>
      <c r="AP21" s="366"/>
      <c r="AQ21" s="366"/>
      <c r="AR21" s="50"/>
      <c r="AS21" s="89">
        <f>V21/W21</f>
        <v>1</v>
      </c>
      <c r="AT21" s="403">
        <f>AB21/AC21</f>
        <v>1</v>
      </c>
      <c r="AU21" s="210">
        <f>AH21/AI21</f>
        <v>1</v>
      </c>
      <c r="AV21" s="209">
        <f>AN21/AO21</f>
        <v>1</v>
      </c>
      <c r="AW21" s="212" t="s">
        <v>73</v>
      </c>
      <c r="AX21" s="175" t="s">
        <v>168</v>
      </c>
    </row>
    <row r="22" spans="1:54" s="63" customFormat="1" ht="115.5" customHeight="1" x14ac:dyDescent="0.25">
      <c r="A22" s="364" t="s">
        <v>160</v>
      </c>
      <c r="B22" s="364" t="s">
        <v>161</v>
      </c>
      <c r="C22" s="364" t="s">
        <v>169</v>
      </c>
      <c r="D22" s="364" t="s">
        <v>170</v>
      </c>
      <c r="E22" s="364" t="s">
        <v>171</v>
      </c>
      <c r="F22" s="364" t="s">
        <v>165</v>
      </c>
      <c r="G22" s="364" t="s">
        <v>42</v>
      </c>
      <c r="H22" s="365" t="s">
        <v>43</v>
      </c>
      <c r="I22" s="364" t="s">
        <v>44</v>
      </c>
      <c r="J22" s="364" t="s">
        <v>102</v>
      </c>
      <c r="K22" s="364" t="s">
        <v>172</v>
      </c>
      <c r="L22" s="364" t="s">
        <v>173</v>
      </c>
      <c r="M22" s="364"/>
      <c r="N22" s="364"/>
      <c r="O22" s="365" t="s">
        <v>86</v>
      </c>
      <c r="P22" s="365" t="s">
        <v>72</v>
      </c>
      <c r="Q22" s="374">
        <v>0.35</v>
      </c>
      <c r="R22" s="169"/>
      <c r="S22" s="1"/>
      <c r="T22" s="1"/>
      <c r="U22" s="1"/>
      <c r="V22" s="1"/>
      <c r="W22" s="1"/>
      <c r="X22" s="2"/>
      <c r="Y22" s="2"/>
      <c r="Z22" s="2"/>
      <c r="AA22" s="2"/>
      <c r="AB22" s="5">
        <v>176</v>
      </c>
      <c r="AC22" s="5">
        <v>147</v>
      </c>
      <c r="AD22" s="164"/>
      <c r="AE22" s="2"/>
      <c r="AF22" s="2"/>
      <c r="AG22" s="2"/>
      <c r="AH22" s="2"/>
      <c r="AI22" s="218"/>
      <c r="AJ22" s="373"/>
      <c r="AK22" s="373"/>
      <c r="AL22" s="373"/>
      <c r="AM22" s="376"/>
      <c r="AN22" s="376">
        <v>165</v>
      </c>
      <c r="AO22" s="376">
        <v>129</v>
      </c>
      <c r="AP22" s="366"/>
      <c r="AQ22" s="366"/>
      <c r="AR22" s="50"/>
      <c r="AS22" s="89"/>
      <c r="AT22" s="403">
        <f>AB22/AC22</f>
        <v>1.1972789115646258</v>
      </c>
      <c r="AU22" s="210"/>
      <c r="AV22" s="213">
        <f>AN22/AO22</f>
        <v>1.2790697674418605</v>
      </c>
      <c r="AW22" s="210" t="s">
        <v>73</v>
      </c>
      <c r="AX22" s="175" t="s">
        <v>174</v>
      </c>
    </row>
    <row r="23" spans="1:54" s="63" customFormat="1" ht="115.5" customHeight="1" x14ac:dyDescent="0.25">
      <c r="A23" s="364" t="s">
        <v>135</v>
      </c>
      <c r="B23" s="364" t="s">
        <v>175</v>
      </c>
      <c r="C23" s="364" t="s">
        <v>176</v>
      </c>
      <c r="D23" s="364" t="s">
        <v>177</v>
      </c>
      <c r="E23" s="364" t="s">
        <v>178</v>
      </c>
      <c r="F23" s="364" t="s">
        <v>179</v>
      </c>
      <c r="G23" s="364" t="s">
        <v>42</v>
      </c>
      <c r="H23" s="365" t="s">
        <v>43</v>
      </c>
      <c r="I23" s="364" t="s">
        <v>44</v>
      </c>
      <c r="J23" s="364" t="s">
        <v>69</v>
      </c>
      <c r="K23" s="364" t="s">
        <v>180</v>
      </c>
      <c r="L23" s="364" t="s">
        <v>181</v>
      </c>
      <c r="M23" s="364"/>
      <c r="N23" s="364"/>
      <c r="O23" s="365" t="s">
        <v>86</v>
      </c>
      <c r="P23" s="365" t="s">
        <v>72</v>
      </c>
      <c r="Q23" s="374">
        <v>1</v>
      </c>
      <c r="R23" s="169"/>
      <c r="S23" s="1"/>
      <c r="T23" s="5"/>
      <c r="U23" s="5"/>
      <c r="V23" s="44">
        <v>0.245</v>
      </c>
      <c r="W23" s="103">
        <v>0.245</v>
      </c>
      <c r="X23" s="5"/>
      <c r="Y23" s="5"/>
      <c r="Z23" s="5"/>
      <c r="AA23" s="5"/>
      <c r="AB23" s="103">
        <v>0.23499999999999999</v>
      </c>
      <c r="AC23" s="103">
        <v>0.23499999999999999</v>
      </c>
      <c r="AD23" s="5"/>
      <c r="AE23" s="5"/>
      <c r="AF23" s="5"/>
      <c r="AG23" s="5"/>
      <c r="AH23" s="103">
        <v>0.159</v>
      </c>
      <c r="AI23" s="219">
        <v>0.159</v>
      </c>
      <c r="AJ23" s="365"/>
      <c r="AK23" s="365"/>
      <c r="AL23" s="365"/>
      <c r="AM23" s="373"/>
      <c r="AN23" s="424">
        <v>0.36099999999999999</v>
      </c>
      <c r="AO23" s="424">
        <v>0.36099999999999999</v>
      </c>
      <c r="AP23" s="50"/>
      <c r="AQ23" s="50"/>
      <c r="AR23" s="88"/>
      <c r="AS23" s="50">
        <f>V23/W23</f>
        <v>1</v>
      </c>
      <c r="AT23" s="404">
        <f>AB23/AC23</f>
        <v>1</v>
      </c>
      <c r="AU23" s="209">
        <f>AH23/AI23</f>
        <v>1</v>
      </c>
      <c r="AV23" s="214">
        <f>AN23/AO23</f>
        <v>1</v>
      </c>
      <c r="AW23" s="210" t="s">
        <v>73</v>
      </c>
      <c r="AX23" s="175" t="s">
        <v>182</v>
      </c>
    </row>
    <row r="24" spans="1:54" s="63" customFormat="1" ht="84" customHeight="1" x14ac:dyDescent="0.25">
      <c r="A24" s="364" t="s">
        <v>160</v>
      </c>
      <c r="B24" s="364" t="s">
        <v>184</v>
      </c>
      <c r="C24" s="365" t="s">
        <v>185</v>
      </c>
      <c r="D24" s="364" t="s">
        <v>186</v>
      </c>
      <c r="E24" s="364" t="s">
        <v>187</v>
      </c>
      <c r="F24" s="364" t="s">
        <v>188</v>
      </c>
      <c r="G24" s="364" t="s">
        <v>42</v>
      </c>
      <c r="H24" s="365" t="s">
        <v>43</v>
      </c>
      <c r="I24" s="364" t="s">
        <v>44</v>
      </c>
      <c r="J24" s="364" t="s">
        <v>69</v>
      </c>
      <c r="K24" s="364" t="s">
        <v>189</v>
      </c>
      <c r="L24" s="364" t="s">
        <v>190</v>
      </c>
      <c r="M24" s="364"/>
      <c r="N24" s="364"/>
      <c r="O24" s="364" t="s">
        <v>59</v>
      </c>
      <c r="P24" s="364" t="s">
        <v>72</v>
      </c>
      <c r="Q24" s="92">
        <v>1</v>
      </c>
      <c r="R24" s="169"/>
      <c r="S24" s="1"/>
      <c r="T24" s="1"/>
      <c r="U24" s="1"/>
      <c r="V24" s="1">
        <v>47</v>
      </c>
      <c r="W24" s="1">
        <v>47</v>
      </c>
      <c r="X24" s="2"/>
      <c r="Y24" s="2"/>
      <c r="Z24" s="2"/>
      <c r="AA24" s="2"/>
      <c r="AB24" s="5">
        <v>56.9</v>
      </c>
      <c r="AC24" s="5">
        <v>57</v>
      </c>
      <c r="AD24" s="2"/>
      <c r="AE24" s="2"/>
      <c r="AF24" s="2"/>
      <c r="AG24" s="2"/>
      <c r="AH24" s="5">
        <v>60.8</v>
      </c>
      <c r="AI24" s="185">
        <v>61</v>
      </c>
      <c r="AJ24" s="373"/>
      <c r="AK24" s="373"/>
      <c r="AL24" s="373"/>
      <c r="AM24" s="373"/>
      <c r="AN24" s="365">
        <f>22.7+15.9+14.4</f>
        <v>53</v>
      </c>
      <c r="AO24" s="365">
        <f>23+18+12</f>
        <v>53</v>
      </c>
      <c r="AP24" s="366"/>
      <c r="AQ24" s="366"/>
      <c r="AR24" s="50"/>
      <c r="AS24" s="50">
        <f>V24/W24</f>
        <v>1</v>
      </c>
      <c r="AT24" s="403">
        <f>AB24/AC24</f>
        <v>0.99824561403508771</v>
      </c>
      <c r="AU24" s="210">
        <f>AH24/AI24</f>
        <v>0.99672131147540977</v>
      </c>
      <c r="AV24" s="213">
        <f>AN24/AO24</f>
        <v>1</v>
      </c>
      <c r="AW24" s="212" t="s">
        <v>73</v>
      </c>
      <c r="AX24" s="175" t="s">
        <v>79</v>
      </c>
    </row>
    <row r="25" spans="1:54" s="63" customFormat="1" ht="84" customHeight="1" x14ac:dyDescent="0.25">
      <c r="A25" s="364" t="s">
        <v>135</v>
      </c>
      <c r="B25" s="364" t="s">
        <v>191</v>
      </c>
      <c r="C25" s="364" t="s">
        <v>192</v>
      </c>
      <c r="D25" s="364" t="s">
        <v>193</v>
      </c>
      <c r="E25" s="364" t="s">
        <v>194</v>
      </c>
      <c r="F25" s="364" t="s">
        <v>179</v>
      </c>
      <c r="G25" s="364" t="s">
        <v>83</v>
      </c>
      <c r="H25" s="365" t="s">
        <v>43</v>
      </c>
      <c r="I25" s="364" t="s">
        <v>44</v>
      </c>
      <c r="J25" s="364" t="s">
        <v>69</v>
      </c>
      <c r="K25" s="364" t="s">
        <v>195</v>
      </c>
      <c r="L25" s="364" t="s">
        <v>196</v>
      </c>
      <c r="M25" s="364"/>
      <c r="N25" s="364"/>
      <c r="O25" s="365" t="s">
        <v>86</v>
      </c>
      <c r="P25" s="365" t="s">
        <v>72</v>
      </c>
      <c r="Q25" s="374">
        <v>0.88</v>
      </c>
      <c r="R25" s="169"/>
      <c r="S25" s="1"/>
      <c r="T25" s="1"/>
      <c r="U25" s="1"/>
      <c r="V25" s="1">
        <v>73</v>
      </c>
      <c r="W25" s="1">
        <v>74</v>
      </c>
      <c r="X25" s="1"/>
      <c r="Y25" s="1"/>
      <c r="Z25" s="1"/>
      <c r="AA25" s="1"/>
      <c r="AB25" s="1">
        <v>50</v>
      </c>
      <c r="AC25" s="1">
        <v>56</v>
      </c>
      <c r="AD25" s="1"/>
      <c r="AE25" s="1"/>
      <c r="AF25" s="2"/>
      <c r="AG25" s="2"/>
      <c r="AH25" s="5">
        <v>138</v>
      </c>
      <c r="AI25" s="185">
        <v>139</v>
      </c>
      <c r="AJ25" s="373"/>
      <c r="AK25" s="373"/>
      <c r="AL25" s="373"/>
      <c r="AM25" s="373"/>
      <c r="AN25" s="365">
        <v>118</v>
      </c>
      <c r="AO25" s="365">
        <v>131</v>
      </c>
      <c r="AP25" s="366"/>
      <c r="AQ25" s="366"/>
      <c r="AR25" s="88"/>
      <c r="AS25" s="89">
        <f>V25/W25</f>
        <v>0.98648648648648651</v>
      </c>
      <c r="AT25" s="403">
        <f>AB25/AC25</f>
        <v>0.8928571428571429</v>
      </c>
      <c r="AU25" s="210">
        <f>AH25/AI25</f>
        <v>0.9928057553956835</v>
      </c>
      <c r="AV25" s="210">
        <f>AN25/AO25</f>
        <v>0.9007633587786259</v>
      </c>
      <c r="AW25" s="209" t="s">
        <v>73</v>
      </c>
      <c r="AX25" s="175" t="s">
        <v>197</v>
      </c>
    </row>
    <row r="26" spans="1:54" s="113" customFormat="1" ht="84" hidden="1" customHeight="1" x14ac:dyDescent="0.25">
      <c r="A26" s="63" t="s">
        <v>37</v>
      </c>
      <c r="B26" s="63" t="s">
        <v>38</v>
      </c>
      <c r="D26" s="202" t="s">
        <v>198</v>
      </c>
      <c r="E26" s="202" t="s">
        <v>199</v>
      </c>
      <c r="F26" s="202" t="s">
        <v>41</v>
      </c>
      <c r="G26" s="202" t="s">
        <v>42</v>
      </c>
      <c r="H26" s="179" t="s">
        <v>89</v>
      </c>
      <c r="I26" s="202" t="s">
        <v>44</v>
      </c>
      <c r="J26" s="202" t="s">
        <v>45</v>
      </c>
      <c r="K26" s="202" t="s">
        <v>200</v>
      </c>
      <c r="L26" s="202" t="s">
        <v>201</v>
      </c>
      <c r="M26" s="202"/>
      <c r="N26" s="202"/>
      <c r="O26" s="243" t="s">
        <v>202</v>
      </c>
      <c r="P26" s="243" t="s">
        <v>50</v>
      </c>
      <c r="Q26" s="244" t="s">
        <v>203</v>
      </c>
      <c r="R26" s="115"/>
      <c r="S26" s="115"/>
      <c r="T26" s="111"/>
      <c r="U26" s="111"/>
      <c r="V26" s="111"/>
      <c r="W26" s="111"/>
      <c r="X26" s="111"/>
      <c r="Y26" s="111"/>
      <c r="Z26" s="104"/>
      <c r="AA26" s="104"/>
      <c r="AB26" s="104"/>
      <c r="AC26" s="104"/>
      <c r="AD26" s="104"/>
      <c r="AE26" s="104"/>
      <c r="AF26" s="104"/>
      <c r="AG26" s="104"/>
      <c r="AH26" s="104"/>
      <c r="AI26" s="104"/>
      <c r="AJ26" s="243"/>
      <c r="AK26" s="243"/>
      <c r="AL26" s="243"/>
      <c r="AM26" s="243"/>
      <c r="AN26" s="245"/>
      <c r="AO26" s="245"/>
      <c r="AP26" s="246"/>
      <c r="AQ26" s="246"/>
      <c r="AR26" s="247"/>
      <c r="AS26" s="248"/>
      <c r="AT26" s="248"/>
      <c r="AU26" s="248"/>
      <c r="AV26" s="247"/>
      <c r="AW26" s="249"/>
      <c r="AX26" s="199" t="s">
        <v>204</v>
      </c>
      <c r="AY26" s="202"/>
    </row>
    <row r="27" spans="1:54" s="63" customFormat="1" ht="100.5" customHeight="1" x14ac:dyDescent="0.25">
      <c r="A27" s="364" t="s">
        <v>205</v>
      </c>
      <c r="B27" s="364" t="s">
        <v>206</v>
      </c>
      <c r="C27" s="364" t="s">
        <v>207</v>
      </c>
      <c r="D27" s="364" t="s">
        <v>208</v>
      </c>
      <c r="E27" s="364" t="s">
        <v>209</v>
      </c>
      <c r="F27" s="364" t="s">
        <v>210</v>
      </c>
      <c r="G27" s="364" t="s">
        <v>42</v>
      </c>
      <c r="H27" s="364" t="s">
        <v>89</v>
      </c>
      <c r="I27" s="364" t="s">
        <v>44</v>
      </c>
      <c r="J27" s="364" t="s">
        <v>69</v>
      </c>
      <c r="K27" s="364" t="s">
        <v>211</v>
      </c>
      <c r="L27" s="364" t="s">
        <v>212</v>
      </c>
      <c r="M27" s="364"/>
      <c r="N27" s="364"/>
      <c r="O27" s="365" t="s">
        <v>59</v>
      </c>
      <c r="P27" s="365" t="s">
        <v>72</v>
      </c>
      <c r="Q27" s="374" t="s">
        <v>213</v>
      </c>
      <c r="R27" s="169"/>
      <c r="S27" s="5"/>
      <c r="T27" s="1"/>
      <c r="U27" s="1"/>
      <c r="V27" s="1">
        <v>96</v>
      </c>
      <c r="W27" s="1">
        <v>986</v>
      </c>
      <c r="X27" s="1"/>
      <c r="Y27" s="1"/>
      <c r="Z27" s="1"/>
      <c r="AA27" s="1"/>
      <c r="AB27" s="1">
        <v>20</v>
      </c>
      <c r="AC27" s="1">
        <v>183</v>
      </c>
      <c r="AD27" s="1"/>
      <c r="AE27" s="1"/>
      <c r="AF27" s="1"/>
      <c r="AG27" s="1"/>
      <c r="AH27" s="1">
        <v>4</v>
      </c>
      <c r="AI27" s="220">
        <v>16</v>
      </c>
      <c r="AJ27" s="379"/>
      <c r="AK27" s="373"/>
      <c r="AL27" s="373"/>
      <c r="AM27" s="373"/>
      <c r="AN27" s="365">
        <v>9</v>
      </c>
      <c r="AO27" s="365">
        <v>33</v>
      </c>
      <c r="AP27" s="366"/>
      <c r="AQ27" s="366"/>
      <c r="AR27" s="88"/>
      <c r="AS27" s="89">
        <f t="shared" ref="AS27:AS32" si="1">V27/W27</f>
        <v>9.7363083164300201E-2</v>
      </c>
      <c r="AT27" s="403">
        <f>AB27/AC27</f>
        <v>0.10928961748633879</v>
      </c>
      <c r="AU27" s="210">
        <f t="shared" ref="AU27:AU32" si="2">AH27/AI27</f>
        <v>0.25</v>
      </c>
      <c r="AV27" s="213">
        <f t="shared" ref="AV27:AV32" si="3">AN27/AO27</f>
        <v>0.27272727272727271</v>
      </c>
      <c r="AW27" s="209" t="s">
        <v>214</v>
      </c>
      <c r="AX27" s="175" t="s">
        <v>215</v>
      </c>
      <c r="AY27" s="172">
        <f>AV27-20%</f>
        <v>7.2727272727272696E-2</v>
      </c>
    </row>
    <row r="28" spans="1:54" s="63" customFormat="1" ht="100.5" customHeight="1" x14ac:dyDescent="0.25">
      <c r="A28" s="364" t="s">
        <v>205</v>
      </c>
      <c r="B28" s="364" t="s">
        <v>206</v>
      </c>
      <c r="C28" s="364" t="s">
        <v>216</v>
      </c>
      <c r="D28" s="364" t="s">
        <v>217</v>
      </c>
      <c r="E28" s="364" t="s">
        <v>218</v>
      </c>
      <c r="F28" s="364" t="s">
        <v>130</v>
      </c>
      <c r="G28" s="364" t="s">
        <v>42</v>
      </c>
      <c r="H28" s="365" t="s">
        <v>43</v>
      </c>
      <c r="I28" s="364" t="s">
        <v>44</v>
      </c>
      <c r="J28" s="364" t="s">
        <v>69</v>
      </c>
      <c r="K28" s="364" t="s">
        <v>219</v>
      </c>
      <c r="L28" s="364" t="s">
        <v>220</v>
      </c>
      <c r="M28" s="364"/>
      <c r="N28" s="364"/>
      <c r="O28" s="365" t="s">
        <v>86</v>
      </c>
      <c r="P28" s="365" t="s">
        <v>72</v>
      </c>
      <c r="Q28" s="374">
        <v>1</v>
      </c>
      <c r="R28" s="169"/>
      <c r="S28" s="1"/>
      <c r="T28" s="1"/>
      <c r="U28" s="1"/>
      <c r="V28" s="1">
        <v>343</v>
      </c>
      <c r="W28" s="1">
        <v>343</v>
      </c>
      <c r="X28" s="1"/>
      <c r="Y28" s="1"/>
      <c r="Z28" s="1"/>
      <c r="AA28" s="1"/>
      <c r="AB28" s="1">
        <v>203</v>
      </c>
      <c r="AC28" s="1">
        <v>203</v>
      </c>
      <c r="AD28" s="1"/>
      <c r="AE28" s="1"/>
      <c r="AF28" s="1"/>
      <c r="AG28" s="1"/>
      <c r="AH28" s="1">
        <v>10</v>
      </c>
      <c r="AI28" s="220">
        <v>10</v>
      </c>
      <c r="AJ28" s="364"/>
      <c r="AK28" s="373"/>
      <c r="AL28" s="373"/>
      <c r="AM28" s="365"/>
      <c r="AN28" s="365">
        <v>32</v>
      </c>
      <c r="AO28" s="365">
        <v>32</v>
      </c>
      <c r="AP28" s="366"/>
      <c r="AQ28" s="366"/>
      <c r="AR28" s="50"/>
      <c r="AS28" s="89">
        <f t="shared" si="1"/>
        <v>1</v>
      </c>
      <c r="AT28" s="403">
        <f>AB28/AC28</f>
        <v>1</v>
      </c>
      <c r="AU28" s="210">
        <f t="shared" si="2"/>
        <v>1</v>
      </c>
      <c r="AV28" s="209">
        <f t="shared" si="3"/>
        <v>1</v>
      </c>
      <c r="AW28" s="212" t="s">
        <v>73</v>
      </c>
      <c r="AX28" s="175" t="s">
        <v>221</v>
      </c>
    </row>
    <row r="29" spans="1:54" s="63" customFormat="1" ht="113.25" customHeight="1" x14ac:dyDescent="0.25">
      <c r="A29" s="364" t="s">
        <v>205</v>
      </c>
      <c r="B29" s="364" t="s">
        <v>206</v>
      </c>
      <c r="C29" s="364" t="s">
        <v>222</v>
      </c>
      <c r="D29" s="364" t="s">
        <v>223</v>
      </c>
      <c r="E29" s="364" t="s">
        <v>224</v>
      </c>
      <c r="F29" s="364" t="s">
        <v>130</v>
      </c>
      <c r="G29" s="364" t="s">
        <v>42</v>
      </c>
      <c r="H29" s="365" t="s">
        <v>43</v>
      </c>
      <c r="I29" s="364" t="s">
        <v>44</v>
      </c>
      <c r="J29" s="364" t="s">
        <v>69</v>
      </c>
      <c r="K29" s="364" t="s">
        <v>225</v>
      </c>
      <c r="L29" s="364" t="s">
        <v>226</v>
      </c>
      <c r="M29" s="364"/>
      <c r="N29" s="364"/>
      <c r="O29" s="365" t="s">
        <v>86</v>
      </c>
      <c r="P29" s="365" t="s">
        <v>72</v>
      </c>
      <c r="Q29" s="374">
        <v>1</v>
      </c>
      <c r="R29" s="169"/>
      <c r="S29" s="1"/>
      <c r="T29" s="1"/>
      <c r="U29" s="1"/>
      <c r="V29" s="1">
        <v>95</v>
      </c>
      <c r="W29" s="1">
        <v>95</v>
      </c>
      <c r="X29" s="1"/>
      <c r="Y29" s="1"/>
      <c r="Z29" s="1"/>
      <c r="AA29" s="1"/>
      <c r="AB29" s="1">
        <v>110</v>
      </c>
      <c r="AC29" s="1">
        <v>110</v>
      </c>
      <c r="AD29" s="1"/>
      <c r="AE29" s="1"/>
      <c r="AF29" s="1"/>
      <c r="AG29" s="1"/>
      <c r="AH29" s="1">
        <v>196</v>
      </c>
      <c r="AI29" s="220">
        <v>196</v>
      </c>
      <c r="AJ29" s="364"/>
      <c r="AK29" s="365"/>
      <c r="AL29" s="373"/>
      <c r="AM29" s="373"/>
      <c r="AN29" s="365">
        <v>1162</v>
      </c>
      <c r="AO29" s="365">
        <v>1162</v>
      </c>
      <c r="AP29" s="366"/>
      <c r="AQ29" s="366"/>
      <c r="AR29" s="50"/>
      <c r="AS29" s="89">
        <f t="shared" si="1"/>
        <v>1</v>
      </c>
      <c r="AT29" s="403">
        <f>AB29/AC29</f>
        <v>1</v>
      </c>
      <c r="AU29" s="210">
        <f t="shared" si="2"/>
        <v>1</v>
      </c>
      <c r="AV29" s="209">
        <f t="shared" si="3"/>
        <v>1</v>
      </c>
      <c r="AW29" s="212" t="s">
        <v>73</v>
      </c>
      <c r="AX29" s="175" t="s">
        <v>221</v>
      </c>
      <c r="BB29" s="140"/>
    </row>
    <row r="30" spans="1:54" s="63" customFormat="1" ht="113.25" customHeight="1" x14ac:dyDescent="0.25">
      <c r="A30" s="364" t="s">
        <v>205</v>
      </c>
      <c r="B30" s="364" t="s">
        <v>206</v>
      </c>
      <c r="C30" s="364" t="s">
        <v>227</v>
      </c>
      <c r="D30" s="364" t="s">
        <v>228</v>
      </c>
      <c r="E30" s="364" t="s">
        <v>229</v>
      </c>
      <c r="F30" s="364" t="s">
        <v>130</v>
      </c>
      <c r="G30" s="364" t="s">
        <v>42</v>
      </c>
      <c r="H30" s="365" t="s">
        <v>43</v>
      </c>
      <c r="I30" s="364" t="s">
        <v>44</v>
      </c>
      <c r="J30" s="364" t="s">
        <v>69</v>
      </c>
      <c r="K30" s="364" t="s">
        <v>230</v>
      </c>
      <c r="L30" s="364" t="s">
        <v>231</v>
      </c>
      <c r="M30" s="364"/>
      <c r="N30" s="364"/>
      <c r="O30" s="365" t="s">
        <v>86</v>
      </c>
      <c r="P30" s="365" t="s">
        <v>72</v>
      </c>
      <c r="Q30" s="374">
        <v>1</v>
      </c>
      <c r="R30" s="169"/>
      <c r="S30" s="1"/>
      <c r="T30" s="1"/>
      <c r="U30" s="1"/>
      <c r="V30" s="1">
        <v>135</v>
      </c>
      <c r="W30" s="1">
        <v>135</v>
      </c>
      <c r="X30" s="1"/>
      <c r="Y30" s="1"/>
      <c r="Z30" s="1"/>
      <c r="AA30" s="1"/>
      <c r="AB30" s="1">
        <v>51</v>
      </c>
      <c r="AC30" s="1">
        <v>51</v>
      </c>
      <c r="AD30" s="1"/>
      <c r="AE30" s="1"/>
      <c r="AF30" s="1"/>
      <c r="AG30" s="1"/>
      <c r="AH30" s="1">
        <v>8</v>
      </c>
      <c r="AI30" s="220">
        <v>8</v>
      </c>
      <c r="AJ30" s="364"/>
      <c r="AK30" s="373"/>
      <c r="AL30" s="373"/>
      <c r="AM30" s="365"/>
      <c r="AN30" s="365">
        <v>16</v>
      </c>
      <c r="AO30" s="365">
        <v>16</v>
      </c>
      <c r="AP30" s="366"/>
      <c r="AQ30" s="366"/>
      <c r="AR30" s="50"/>
      <c r="AS30" s="89">
        <f t="shared" si="1"/>
        <v>1</v>
      </c>
      <c r="AT30" s="403">
        <f>AB30/AC30</f>
        <v>1</v>
      </c>
      <c r="AU30" s="210">
        <f t="shared" si="2"/>
        <v>1</v>
      </c>
      <c r="AV30" s="209">
        <f t="shared" si="3"/>
        <v>1</v>
      </c>
      <c r="AW30" s="212" t="s">
        <v>73</v>
      </c>
      <c r="AX30" s="175" t="s">
        <v>221</v>
      </c>
    </row>
    <row r="31" spans="1:54" s="63" customFormat="1" ht="113.25" customHeight="1" x14ac:dyDescent="0.25">
      <c r="A31" s="373" t="s">
        <v>135</v>
      </c>
      <c r="B31" s="364" t="s">
        <v>232</v>
      </c>
      <c r="C31" s="373" t="s">
        <v>233</v>
      </c>
      <c r="D31" s="364" t="s">
        <v>234</v>
      </c>
      <c r="E31" s="364" t="s">
        <v>235</v>
      </c>
      <c r="F31" s="364" t="s">
        <v>236</v>
      </c>
      <c r="G31" s="364" t="s">
        <v>141</v>
      </c>
      <c r="H31" s="365" t="s">
        <v>43</v>
      </c>
      <c r="I31" s="364" t="s">
        <v>237</v>
      </c>
      <c r="J31" s="364" t="s">
        <v>69</v>
      </c>
      <c r="K31" s="364" t="s">
        <v>238</v>
      </c>
      <c r="L31" s="364" t="s">
        <v>239</v>
      </c>
      <c r="M31" s="92"/>
      <c r="N31" s="364"/>
      <c r="O31" s="365" t="s">
        <v>240</v>
      </c>
      <c r="P31" s="365" t="s">
        <v>72</v>
      </c>
      <c r="Q31" s="50">
        <v>0.9</v>
      </c>
      <c r="R31" s="169"/>
      <c r="S31" s="1"/>
      <c r="T31" s="1"/>
      <c r="U31" s="1"/>
      <c r="V31" s="1">
        <v>288</v>
      </c>
      <c r="W31" s="1">
        <v>294</v>
      </c>
      <c r="X31" s="1"/>
      <c r="Y31" s="1"/>
      <c r="Z31" s="1"/>
      <c r="AA31" s="1"/>
      <c r="AB31" s="1">
        <v>457</v>
      </c>
      <c r="AC31" s="1">
        <v>487</v>
      </c>
      <c r="AD31" s="1"/>
      <c r="AE31" s="1"/>
      <c r="AF31" s="1"/>
      <c r="AG31" s="2"/>
      <c r="AH31" s="1">
        <v>499</v>
      </c>
      <c r="AI31" s="220">
        <v>504</v>
      </c>
      <c r="AJ31" s="373"/>
      <c r="AK31" s="373"/>
      <c r="AL31" s="373"/>
      <c r="AM31" s="373"/>
      <c r="AN31" s="364">
        <v>499</v>
      </c>
      <c r="AO31" s="364">
        <v>499</v>
      </c>
      <c r="AP31" s="366"/>
      <c r="AQ31" s="366"/>
      <c r="AR31" s="50"/>
      <c r="AS31" s="89">
        <f t="shared" si="1"/>
        <v>0.97959183673469385</v>
      </c>
      <c r="AT31" s="403">
        <f>(AB31/AC31)</f>
        <v>0.9383983572895277</v>
      </c>
      <c r="AU31" s="210">
        <f t="shared" si="2"/>
        <v>0.99007936507936511</v>
      </c>
      <c r="AV31" s="210">
        <f t="shared" si="3"/>
        <v>1</v>
      </c>
      <c r="AW31" s="212" t="s">
        <v>73</v>
      </c>
      <c r="AX31" s="175" t="s">
        <v>241</v>
      </c>
    </row>
    <row r="32" spans="1:54" s="63" customFormat="1" ht="91.5" customHeight="1" x14ac:dyDescent="0.25">
      <c r="A32" s="364" t="s">
        <v>135</v>
      </c>
      <c r="B32" s="364" t="s">
        <v>232</v>
      </c>
      <c r="C32" s="364" t="s">
        <v>242</v>
      </c>
      <c r="D32" s="364" t="s">
        <v>243</v>
      </c>
      <c r="E32" s="364" t="s">
        <v>244</v>
      </c>
      <c r="F32" s="364" t="s">
        <v>236</v>
      </c>
      <c r="G32" s="364" t="s">
        <v>42</v>
      </c>
      <c r="H32" s="364" t="s">
        <v>113</v>
      </c>
      <c r="I32" s="364" t="s">
        <v>44</v>
      </c>
      <c r="J32" s="364" t="s">
        <v>69</v>
      </c>
      <c r="K32" s="364" t="s">
        <v>245</v>
      </c>
      <c r="L32" s="364" t="s">
        <v>246</v>
      </c>
      <c r="M32" s="364"/>
      <c r="N32" s="364"/>
      <c r="O32" s="365" t="s">
        <v>240</v>
      </c>
      <c r="P32" s="365" t="s">
        <v>72</v>
      </c>
      <c r="Q32" s="374">
        <v>1</v>
      </c>
      <c r="R32" s="169"/>
      <c r="S32" s="1"/>
      <c r="T32" s="1"/>
      <c r="U32" s="1"/>
      <c r="V32" s="1">
        <v>38</v>
      </c>
      <c r="W32" s="1">
        <v>38</v>
      </c>
      <c r="X32" s="2"/>
      <c r="Y32" s="2"/>
      <c r="Z32" s="2"/>
      <c r="AA32" s="2"/>
      <c r="AB32" s="2">
        <v>43</v>
      </c>
      <c r="AC32" s="2">
        <v>43</v>
      </c>
      <c r="AD32" s="2"/>
      <c r="AE32" s="2"/>
      <c r="AF32" s="2"/>
      <c r="AG32" s="2"/>
      <c r="AH32" s="1">
        <v>62</v>
      </c>
      <c r="AI32" s="220">
        <v>62</v>
      </c>
      <c r="AJ32" s="373"/>
      <c r="AK32" s="373"/>
      <c r="AL32" s="373"/>
      <c r="AM32" s="373"/>
      <c r="AN32" s="365">
        <v>39</v>
      </c>
      <c r="AO32" s="365">
        <v>39</v>
      </c>
      <c r="AP32" s="366"/>
      <c r="AQ32" s="366"/>
      <c r="AR32" s="50"/>
      <c r="AS32" s="89">
        <f t="shared" si="1"/>
        <v>1</v>
      </c>
      <c r="AT32" s="403">
        <f>(AB32/AC32)</f>
        <v>1</v>
      </c>
      <c r="AU32" s="210">
        <f t="shared" si="2"/>
        <v>1</v>
      </c>
      <c r="AV32" s="210">
        <f t="shared" si="3"/>
        <v>1</v>
      </c>
      <c r="AW32" s="212" t="s">
        <v>73</v>
      </c>
      <c r="AX32" s="175" t="s">
        <v>247</v>
      </c>
    </row>
    <row r="33" spans="1:54" s="63" customFormat="1" ht="84.75" customHeight="1" x14ac:dyDescent="0.25">
      <c r="A33" s="364" t="s">
        <v>135</v>
      </c>
      <c r="B33" s="364" t="s">
        <v>232</v>
      </c>
      <c r="C33" s="364" t="s">
        <v>248</v>
      </c>
      <c r="D33" s="364" t="s">
        <v>249</v>
      </c>
      <c r="E33" s="364" t="s">
        <v>250</v>
      </c>
      <c r="F33" s="364" t="s">
        <v>236</v>
      </c>
      <c r="G33" s="364" t="s">
        <v>42</v>
      </c>
      <c r="H33" s="365" t="s">
        <v>43</v>
      </c>
      <c r="I33" s="364" t="s">
        <v>44</v>
      </c>
      <c r="J33" s="364" t="s">
        <v>69</v>
      </c>
      <c r="K33" s="364" t="s">
        <v>251</v>
      </c>
      <c r="L33" s="364" t="s">
        <v>252</v>
      </c>
      <c r="M33" s="364"/>
      <c r="N33" s="364"/>
      <c r="O33" s="365" t="s">
        <v>202</v>
      </c>
      <c r="P33" s="365" t="s">
        <v>72</v>
      </c>
      <c r="Q33" s="374">
        <v>0.05</v>
      </c>
      <c r="R33" s="169"/>
      <c r="S33" s="1"/>
      <c r="T33" s="1"/>
      <c r="U33" s="1"/>
      <c r="V33" s="167">
        <v>136585</v>
      </c>
      <c r="W33" s="1">
        <v>127701</v>
      </c>
      <c r="X33" s="92"/>
      <c r="Y33" s="1"/>
      <c r="Z33" s="1"/>
      <c r="AA33" s="1"/>
      <c r="AB33" s="1">
        <v>158717</v>
      </c>
      <c r="AC33" s="167">
        <v>136585</v>
      </c>
      <c r="AD33" s="2"/>
      <c r="AE33" s="2"/>
      <c r="AF33" s="2"/>
      <c r="AG33" s="2"/>
      <c r="AH33" s="1">
        <v>207242</v>
      </c>
      <c r="AI33" s="220">
        <v>158717</v>
      </c>
      <c r="AJ33" s="425"/>
      <c r="AK33" s="373"/>
      <c r="AL33" s="426"/>
      <c r="AM33" s="364"/>
      <c r="AN33" s="364">
        <v>223796</v>
      </c>
      <c r="AO33" s="364">
        <v>207242</v>
      </c>
      <c r="AP33" s="366"/>
      <c r="AQ33" s="366"/>
      <c r="AR33" s="50"/>
      <c r="AS33" s="89">
        <f>(V33/W33)-1</f>
        <v>6.9568758271274289E-2</v>
      </c>
      <c r="AT33" s="403">
        <f>(AB33/AC33)-1</f>
        <v>0.16203829117399415</v>
      </c>
      <c r="AU33" s="210">
        <f>(AH33/AI33)-1</f>
        <v>0.30573284525287137</v>
      </c>
      <c r="AV33" s="210">
        <f>(AN33/AO33)-1</f>
        <v>7.9877630982136738E-2</v>
      </c>
      <c r="AW33" s="212" t="s">
        <v>73</v>
      </c>
      <c r="AX33" s="175" t="s">
        <v>253</v>
      </c>
    </row>
    <row r="34" spans="1:54" s="63" customFormat="1" ht="111" customHeight="1" x14ac:dyDescent="0.25">
      <c r="A34" s="365" t="s">
        <v>37</v>
      </c>
      <c r="B34" s="365" t="s">
        <v>53</v>
      </c>
      <c r="C34" s="365" t="s">
        <v>254</v>
      </c>
      <c r="D34" s="365" t="s">
        <v>255</v>
      </c>
      <c r="E34" s="365" t="s">
        <v>256</v>
      </c>
      <c r="F34" s="364" t="s">
        <v>257</v>
      </c>
      <c r="G34" s="365" t="s">
        <v>109</v>
      </c>
      <c r="H34" s="365"/>
      <c r="I34" s="365" t="s">
        <v>258</v>
      </c>
      <c r="J34" s="364" t="s">
        <v>69</v>
      </c>
      <c r="K34" s="365" t="s">
        <v>259</v>
      </c>
      <c r="L34" s="365" t="s">
        <v>260</v>
      </c>
      <c r="M34" s="365"/>
      <c r="N34" s="365"/>
      <c r="O34" s="365" t="s">
        <v>59</v>
      </c>
      <c r="P34" s="365" t="s">
        <v>72</v>
      </c>
      <c r="Q34" s="374">
        <v>0.82</v>
      </c>
      <c r="R34" s="99"/>
      <c r="S34" s="5"/>
      <c r="T34" s="5"/>
      <c r="U34" s="5"/>
      <c r="V34" s="5">
        <v>8088</v>
      </c>
      <c r="W34" s="5">
        <v>9635</v>
      </c>
      <c r="X34" s="5"/>
      <c r="Y34" s="5"/>
      <c r="Z34" s="5"/>
      <c r="AA34" s="5"/>
      <c r="AB34" s="5">
        <v>11546</v>
      </c>
      <c r="AC34" s="5">
        <v>13315</v>
      </c>
      <c r="AD34" s="5"/>
      <c r="AE34" s="5"/>
      <c r="AF34" s="5"/>
      <c r="AG34" s="5"/>
      <c r="AH34" s="5">
        <v>12638</v>
      </c>
      <c r="AI34" s="185">
        <v>14329</v>
      </c>
      <c r="AJ34" s="365"/>
      <c r="AK34" s="365"/>
      <c r="AL34" s="365"/>
      <c r="AM34" s="365"/>
      <c r="AN34" s="365"/>
      <c r="AO34" s="365"/>
      <c r="AP34" s="366">
        <f>R34+T34+V34+X34+Z34+AB34+AD34+AF34+AH34+AJ34+AL34+AN34</f>
        <v>32272</v>
      </c>
      <c r="AQ34" s="366">
        <f>S34+U34+W34+Y34+AA34+AC34+AE34+AG34+AI34+AK34+AM34+AO34</f>
        <v>37279</v>
      </c>
      <c r="AR34" s="294">
        <f>AP34/AQ34</f>
        <v>0.86568845730840416</v>
      </c>
      <c r="AS34" s="89">
        <f>(R34+T34+V34)/(S34+U34+W34)</f>
        <v>0.83943954333160353</v>
      </c>
      <c r="AT34" s="403">
        <f>(X34+Z34+AB34)/(Y34+AA34+AC34)</f>
        <v>0.8671423206909501</v>
      </c>
      <c r="AU34" s="210">
        <f>IFERROR((AD34+AF34+AH34)/(AE34+AG34+AI34),"0")</f>
        <v>0.88198757763975155</v>
      </c>
      <c r="AV34" s="213" t="e">
        <f>AN34/AO34</f>
        <v>#DIV/0!</v>
      </c>
      <c r="AW34" s="212"/>
      <c r="AX34" s="180" t="s">
        <v>261</v>
      </c>
      <c r="AY34" s="172"/>
    </row>
    <row r="35" spans="1:54" s="63" customFormat="1" ht="91.5" customHeight="1" x14ac:dyDescent="0.25">
      <c r="A35" s="365" t="s">
        <v>37</v>
      </c>
      <c r="B35" s="365" t="s">
        <v>53</v>
      </c>
      <c r="C35" s="365" t="s">
        <v>262</v>
      </c>
      <c r="D35" s="365" t="s">
        <v>263</v>
      </c>
      <c r="E35" s="365" t="s">
        <v>264</v>
      </c>
      <c r="F35" s="364" t="s">
        <v>257</v>
      </c>
      <c r="G35" s="365" t="s">
        <v>141</v>
      </c>
      <c r="H35" s="365" t="s">
        <v>89</v>
      </c>
      <c r="I35" s="365" t="s">
        <v>44</v>
      </c>
      <c r="J35" s="364" t="s">
        <v>45</v>
      </c>
      <c r="K35" s="365" t="s">
        <v>265</v>
      </c>
      <c r="L35" s="365" t="s">
        <v>266</v>
      </c>
      <c r="M35" s="365"/>
      <c r="N35" s="365"/>
      <c r="O35" s="365" t="s">
        <v>59</v>
      </c>
      <c r="P35" s="365" t="s">
        <v>72</v>
      </c>
      <c r="Q35" s="374" t="s">
        <v>267</v>
      </c>
      <c r="R35" s="99">
        <v>55747</v>
      </c>
      <c r="S35" s="5">
        <v>694855</v>
      </c>
      <c r="T35" s="5">
        <v>67630</v>
      </c>
      <c r="U35" s="5">
        <v>693708</v>
      </c>
      <c r="V35" s="5">
        <v>67791</v>
      </c>
      <c r="W35" s="5">
        <v>771292</v>
      </c>
      <c r="X35" s="5">
        <v>58893</v>
      </c>
      <c r="Y35" s="5">
        <v>739167</v>
      </c>
      <c r="Z35" s="5">
        <v>64964</v>
      </c>
      <c r="AA35" s="5">
        <v>802568</v>
      </c>
      <c r="AB35" s="5">
        <v>61721</v>
      </c>
      <c r="AC35" s="5">
        <v>767935</v>
      </c>
      <c r="AD35" s="5">
        <v>55984</v>
      </c>
      <c r="AE35" s="5">
        <v>777632</v>
      </c>
      <c r="AF35" s="5">
        <v>55219</v>
      </c>
      <c r="AG35" s="5">
        <v>725397</v>
      </c>
      <c r="AH35" s="5">
        <v>58628</v>
      </c>
      <c r="AI35" s="185">
        <v>730888</v>
      </c>
      <c r="AJ35" s="365">
        <v>54380</v>
      </c>
      <c r="AK35" s="365">
        <v>726245</v>
      </c>
      <c r="AL35" s="365">
        <v>54602</v>
      </c>
      <c r="AM35" s="365">
        <v>692872</v>
      </c>
      <c r="AN35" s="365">
        <v>54712</v>
      </c>
      <c r="AO35" s="365">
        <v>744761</v>
      </c>
      <c r="AP35" s="366">
        <f>R35+T35+V35+X35+Z35+AB35+AD35+AF35+AH35+AJ35+AL35+AN35</f>
        <v>710271</v>
      </c>
      <c r="AQ35" s="366">
        <f>S35+U35+W35+Y35+AA35+AC35+AE35+AG35+AI35+AK35+AM35+AO35</f>
        <v>8867320</v>
      </c>
      <c r="AR35" s="294">
        <f>AP35/AQ35</f>
        <v>8.0099849785504523E-2</v>
      </c>
      <c r="AS35" s="89">
        <f>(R35+T35+V35)/(S35+U35+W35)</f>
        <v>8.8509645323412919E-2</v>
      </c>
      <c r="AT35" s="405">
        <f>(X35+Z35+AB35)/(Y35+AA35+AC35)</f>
        <v>8.0348274861776786E-2</v>
      </c>
      <c r="AU35" s="160">
        <f>(AD35+AF35+AH35)/(AE35+AG35+AI35)</f>
        <v>7.6023863017292054E-2</v>
      </c>
      <c r="AV35" s="160">
        <f>IFERROR((AJ35+AL35+AN35)/(AK35+AM35+AO35),"0")</f>
        <v>7.5648442287411771E-2</v>
      </c>
      <c r="AW35" s="161" t="s">
        <v>73</v>
      </c>
      <c r="AX35" s="204" t="s">
        <v>268</v>
      </c>
      <c r="AY35" s="172"/>
    </row>
    <row r="36" spans="1:54" ht="68.25" customHeight="1" x14ac:dyDescent="0.25">
      <c r="A36" s="365" t="s">
        <v>37</v>
      </c>
      <c r="B36" s="365" t="s">
        <v>53</v>
      </c>
      <c r="C36" s="365" t="s">
        <v>269</v>
      </c>
      <c r="D36" s="365" t="s">
        <v>270</v>
      </c>
      <c r="E36" s="365" t="s">
        <v>271</v>
      </c>
      <c r="F36" s="364" t="s">
        <v>257</v>
      </c>
      <c r="G36" s="365" t="s">
        <v>141</v>
      </c>
      <c r="H36" s="365" t="s">
        <v>43</v>
      </c>
      <c r="I36" s="365" t="s">
        <v>44</v>
      </c>
      <c r="J36" s="364" t="s">
        <v>45</v>
      </c>
      <c r="K36" s="365" t="s">
        <v>272</v>
      </c>
      <c r="L36" s="365" t="s">
        <v>273</v>
      </c>
      <c r="M36" s="365"/>
      <c r="N36" s="365"/>
      <c r="O36" s="365" t="s">
        <v>274</v>
      </c>
      <c r="P36" s="365" t="s">
        <v>72</v>
      </c>
      <c r="Q36" s="374">
        <v>0.9</v>
      </c>
      <c r="R36" s="99">
        <f>691767</f>
        <v>691767</v>
      </c>
      <c r="S36" s="5">
        <v>3088</v>
      </c>
      <c r="T36" s="5">
        <v>693708</v>
      </c>
      <c r="U36" s="5">
        <v>16988</v>
      </c>
      <c r="V36" s="102">
        <v>771292</v>
      </c>
      <c r="W36" s="52">
        <v>9578</v>
      </c>
      <c r="X36" s="5">
        <v>739167</v>
      </c>
      <c r="Y36" s="5">
        <v>5061</v>
      </c>
      <c r="Z36" s="5">
        <v>802568</v>
      </c>
      <c r="AA36" s="5">
        <v>7209</v>
      </c>
      <c r="AB36" s="5">
        <v>767935</v>
      </c>
      <c r="AC36" s="5">
        <v>9450</v>
      </c>
      <c r="AD36" s="5">
        <v>777632</v>
      </c>
      <c r="AE36" s="5">
        <v>4010</v>
      </c>
      <c r="AF36" s="5">
        <v>725397</v>
      </c>
      <c r="AG36" s="52">
        <v>5865</v>
      </c>
      <c r="AH36" s="5">
        <v>730888</v>
      </c>
      <c r="AI36" s="185">
        <v>11166</v>
      </c>
      <c r="AJ36" s="365">
        <v>726245</v>
      </c>
      <c r="AK36" s="365">
        <v>5173</v>
      </c>
      <c r="AL36" s="365">
        <v>692872</v>
      </c>
      <c r="AM36" s="365">
        <v>9187</v>
      </c>
      <c r="AN36" s="365">
        <v>744761</v>
      </c>
      <c r="AO36" s="365">
        <v>10473</v>
      </c>
      <c r="AP36" s="366">
        <f>(R36+T36+V36+X36+Z36+AB36+AD36+AF36+AH36+AJ36+AL36+AN36)</f>
        <v>8864232</v>
      </c>
      <c r="AQ36" s="366">
        <f>(S36+U36+W36+Y36+AA36+AC36+AE36+AG36+AI36+AK36+AM36+AO36)</f>
        <v>97248</v>
      </c>
      <c r="AR36" s="89">
        <f>(AP36-AQ36)/AP36</f>
        <v>0.98902916800914054</v>
      </c>
      <c r="AS36" s="89">
        <f>((R36+T36+V36)-(S36+U36+W36))/((R36+T36+V36))</f>
        <v>0.98625071692955246</v>
      </c>
      <c r="AT36" s="402">
        <f>((X36+Z36+AB36)-(Y36+AA36+AC36))/(X36+Z36+AB36)</f>
        <v>0.9905960591772851</v>
      </c>
      <c r="AU36" s="184">
        <f>((AD36+AF36+AH36)-(AE36+AG36+AI36))/(AD36+AF36+AH36)</f>
        <v>0.99058111827789486</v>
      </c>
      <c r="AV36" s="184">
        <f>IFERROR(((AJ36+AL36+AN36)-(AK36+AM36+AO36))/(AJ36+AL36+AN36),"0")</f>
        <v>0.98852384468995014</v>
      </c>
      <c r="AW36" s="237" t="s">
        <v>73</v>
      </c>
      <c r="AX36" s="204" t="s">
        <v>275</v>
      </c>
      <c r="AY36" s="205"/>
      <c r="AZ36" s="63"/>
      <c r="BA36" s="63"/>
      <c r="BB36" s="4"/>
    </row>
    <row r="37" spans="1:54" s="63" customFormat="1" ht="87" customHeight="1" x14ac:dyDescent="0.25">
      <c r="A37" s="364" t="s">
        <v>205</v>
      </c>
      <c r="B37" s="364" t="s">
        <v>276</v>
      </c>
      <c r="C37" s="364" t="s">
        <v>277</v>
      </c>
      <c r="D37" s="364" t="s">
        <v>278</v>
      </c>
      <c r="E37" s="364" t="s">
        <v>279</v>
      </c>
      <c r="F37" s="364" t="s">
        <v>280</v>
      </c>
      <c r="G37" s="364" t="s">
        <v>42</v>
      </c>
      <c r="H37" s="365" t="s">
        <v>43</v>
      </c>
      <c r="I37" s="364" t="s">
        <v>44</v>
      </c>
      <c r="J37" s="364" t="s">
        <v>69</v>
      </c>
      <c r="K37" s="364" t="s">
        <v>281</v>
      </c>
      <c r="L37" s="364" t="s">
        <v>282</v>
      </c>
      <c r="M37" s="364"/>
      <c r="N37" s="364"/>
      <c r="O37" s="365" t="s">
        <v>59</v>
      </c>
      <c r="P37" s="365" t="s">
        <v>72</v>
      </c>
      <c r="Q37" s="374">
        <v>1</v>
      </c>
      <c r="R37" s="169"/>
      <c r="S37" s="1"/>
      <c r="T37" s="1"/>
      <c r="U37" s="1"/>
      <c r="V37" s="1">
        <v>34</v>
      </c>
      <c r="W37" s="1">
        <v>34</v>
      </c>
      <c r="X37" s="2"/>
      <c r="Y37" s="2"/>
      <c r="Z37" s="2"/>
      <c r="AA37" s="2"/>
      <c r="AB37" s="5">
        <v>34</v>
      </c>
      <c r="AC37" s="5">
        <v>34</v>
      </c>
      <c r="AD37" s="5"/>
      <c r="AE37" s="5"/>
      <c r="AF37" s="5"/>
      <c r="AG37" s="5"/>
      <c r="AH37" s="5">
        <v>29</v>
      </c>
      <c r="AI37" s="185">
        <v>29</v>
      </c>
      <c r="AJ37" s="373"/>
      <c r="AK37" s="373"/>
      <c r="AL37" s="373"/>
      <c r="AM37" s="373"/>
      <c r="AN37" s="365">
        <v>38</v>
      </c>
      <c r="AO37" s="365">
        <v>38</v>
      </c>
      <c r="AP37" s="366"/>
      <c r="AQ37" s="366"/>
      <c r="AR37" s="50"/>
      <c r="AS37" s="50">
        <f>V37/W37</f>
        <v>1</v>
      </c>
      <c r="AT37" s="403">
        <f>AB37/AC37</f>
        <v>1</v>
      </c>
      <c r="AU37" s="210">
        <f>AH37/AI37</f>
        <v>1</v>
      </c>
      <c r="AV37" s="209">
        <f>AN37/AO37</f>
        <v>1</v>
      </c>
      <c r="AW37" s="212" t="s">
        <v>73</v>
      </c>
      <c r="AX37" s="175" t="s">
        <v>283</v>
      </c>
    </row>
    <row r="38" spans="1:54" s="4" customFormat="1" ht="102" customHeight="1" x14ac:dyDescent="0.25">
      <c r="A38" s="364" t="s">
        <v>205</v>
      </c>
      <c r="B38" s="364" t="s">
        <v>276</v>
      </c>
      <c r="C38" s="364" t="s">
        <v>284</v>
      </c>
      <c r="D38" s="364" t="s">
        <v>285</v>
      </c>
      <c r="E38" s="364" t="s">
        <v>286</v>
      </c>
      <c r="F38" s="364" t="s">
        <v>280</v>
      </c>
      <c r="G38" s="364" t="s">
        <v>42</v>
      </c>
      <c r="H38" s="365" t="s">
        <v>43</v>
      </c>
      <c r="I38" s="364" t="s">
        <v>44</v>
      </c>
      <c r="J38" s="364" t="s">
        <v>69</v>
      </c>
      <c r="K38" s="364" t="s">
        <v>287</v>
      </c>
      <c r="L38" s="364" t="s">
        <v>288</v>
      </c>
      <c r="M38" s="364"/>
      <c r="N38" s="364"/>
      <c r="O38" s="365" t="s">
        <v>59</v>
      </c>
      <c r="P38" s="365" t="s">
        <v>72</v>
      </c>
      <c r="Q38" s="374">
        <v>1</v>
      </c>
      <c r="R38" s="169"/>
      <c r="S38" s="1"/>
      <c r="T38" s="1"/>
      <c r="U38" s="1"/>
      <c r="V38" s="1">
        <v>22</v>
      </c>
      <c r="W38" s="1">
        <v>22</v>
      </c>
      <c r="X38" s="2"/>
      <c r="Y38" s="2"/>
      <c r="Z38" s="2"/>
      <c r="AA38" s="2"/>
      <c r="AB38" s="2">
        <v>20</v>
      </c>
      <c r="AC38" s="2">
        <v>20</v>
      </c>
      <c r="AD38" s="2"/>
      <c r="AE38" s="2"/>
      <c r="AF38" s="2"/>
      <c r="AG38" s="2"/>
      <c r="AH38" s="2">
        <v>35</v>
      </c>
      <c r="AI38" s="218">
        <v>35</v>
      </c>
      <c r="AJ38" s="373"/>
      <c r="AK38" s="373"/>
      <c r="AL38" s="373"/>
      <c r="AM38" s="373"/>
      <c r="AN38" s="365">
        <v>20</v>
      </c>
      <c r="AO38" s="365">
        <v>20</v>
      </c>
      <c r="AP38" s="366"/>
      <c r="AQ38" s="366"/>
      <c r="AR38" s="50"/>
      <c r="AS38" s="50">
        <f>V38/W38</f>
        <v>1</v>
      </c>
      <c r="AT38" s="403">
        <f>AB38/AC38</f>
        <v>1</v>
      </c>
      <c r="AU38" s="210">
        <f>AH38/AI38</f>
        <v>1</v>
      </c>
      <c r="AV38" s="209">
        <f>AN38/AO38</f>
        <v>1</v>
      </c>
      <c r="AW38" s="212" t="s">
        <v>73</v>
      </c>
      <c r="AX38" s="175" t="s">
        <v>289</v>
      </c>
      <c r="AY38" s="63"/>
      <c r="AZ38" s="63"/>
      <c r="BA38" s="63"/>
      <c r="BB38" s="63"/>
    </row>
    <row r="39" spans="1:54" s="4" customFormat="1" ht="102" customHeight="1" x14ac:dyDescent="0.25">
      <c r="A39" s="365" t="s">
        <v>37</v>
      </c>
      <c r="B39" s="365" t="s">
        <v>290</v>
      </c>
      <c r="C39" s="365" t="s">
        <v>291</v>
      </c>
      <c r="D39" s="365" t="s">
        <v>292</v>
      </c>
      <c r="E39" s="365" t="s">
        <v>293</v>
      </c>
      <c r="F39" s="365" t="s">
        <v>294</v>
      </c>
      <c r="G39" s="365" t="s">
        <v>42</v>
      </c>
      <c r="H39" s="365" t="s">
        <v>43</v>
      </c>
      <c r="I39" s="365" t="s">
        <v>44</v>
      </c>
      <c r="J39" s="364" t="s">
        <v>295</v>
      </c>
      <c r="K39" s="365" t="s">
        <v>296</v>
      </c>
      <c r="L39" s="365" t="s">
        <v>297</v>
      </c>
      <c r="M39" s="365"/>
      <c r="N39" s="365"/>
      <c r="O39" s="365" t="s">
        <v>105</v>
      </c>
      <c r="P39" s="365" t="s">
        <v>72</v>
      </c>
      <c r="Q39" s="374">
        <v>1</v>
      </c>
      <c r="R39" s="99"/>
      <c r="S39" s="5"/>
      <c r="T39" s="5"/>
      <c r="U39" s="5"/>
      <c r="V39" s="149">
        <v>16.88</v>
      </c>
      <c r="W39" s="168">
        <v>20</v>
      </c>
      <c r="X39" s="1"/>
      <c r="Y39" s="1"/>
      <c r="Z39" s="1"/>
      <c r="AA39" s="1"/>
      <c r="AB39" s="137">
        <v>20.89</v>
      </c>
      <c r="AC39" s="168">
        <v>22</v>
      </c>
      <c r="AD39" s="1"/>
      <c r="AE39" s="2"/>
      <c r="AF39" s="2"/>
      <c r="AG39" s="2"/>
      <c r="AH39" s="168">
        <v>21.94</v>
      </c>
      <c r="AI39" s="221">
        <v>23</v>
      </c>
      <c r="AJ39" s="373"/>
      <c r="AK39" s="373"/>
      <c r="AL39" s="373"/>
      <c r="AM39" s="373"/>
      <c r="AN39" s="426">
        <v>22.49</v>
      </c>
      <c r="AO39" s="365">
        <v>24</v>
      </c>
      <c r="AP39" s="366">
        <f>R39+T39+V39+X39+Z39+AB39+AD39+AF39+AH39+AJ39+AL39+AN39</f>
        <v>82.199999999999989</v>
      </c>
      <c r="AQ39" s="366">
        <f>S39+U39+W39+Y39+AA39+AC39+AE39+AG39+AI39+AK39+AM39+AO39</f>
        <v>89</v>
      </c>
      <c r="AR39" s="89">
        <f t="shared" ref="AR39:AR46" si="4">AP39/AQ39</f>
        <v>0.92359550561797743</v>
      </c>
      <c r="AS39" s="88">
        <f>V39/W39</f>
        <v>0.84399999999999997</v>
      </c>
      <c r="AT39" s="403">
        <f>IFERROR((X39+Z39+AB39)/(Y39+AA39+AC39),"")</f>
        <v>0.94954545454545458</v>
      </c>
      <c r="AU39" s="210">
        <f>AH39/AI39</f>
        <v>0.95391304347826089</v>
      </c>
      <c r="AV39" s="213">
        <f>AN39/AO39</f>
        <v>0.93708333333333327</v>
      </c>
      <c r="AW39" s="270" t="s">
        <v>73</v>
      </c>
      <c r="AX39" s="188" t="s">
        <v>298</v>
      </c>
      <c r="AZ39" s="63"/>
      <c r="BA39" s="63"/>
      <c r="BB39" s="63"/>
    </row>
    <row r="40" spans="1:54" s="4" customFormat="1" ht="102" customHeight="1" x14ac:dyDescent="0.25">
      <c r="A40" s="365" t="s">
        <v>135</v>
      </c>
      <c r="B40" s="365" t="s">
        <v>299</v>
      </c>
      <c r="C40" s="365" t="s">
        <v>300</v>
      </c>
      <c r="D40" s="364" t="s">
        <v>301</v>
      </c>
      <c r="E40" s="364" t="s">
        <v>302</v>
      </c>
      <c r="F40" s="364" t="s">
        <v>303</v>
      </c>
      <c r="G40" s="364" t="s">
        <v>42</v>
      </c>
      <c r="H40" s="365" t="s">
        <v>43</v>
      </c>
      <c r="I40" s="364" t="s">
        <v>44</v>
      </c>
      <c r="J40" s="364" t="s">
        <v>45</v>
      </c>
      <c r="K40" s="364" t="s">
        <v>304</v>
      </c>
      <c r="L40" s="364" t="s">
        <v>305</v>
      </c>
      <c r="M40" s="364"/>
      <c r="N40" s="364"/>
      <c r="O40" s="365" t="s">
        <v>59</v>
      </c>
      <c r="P40" s="365" t="s">
        <v>72</v>
      </c>
      <c r="Q40" s="374">
        <v>1</v>
      </c>
      <c r="R40" s="169">
        <v>1234</v>
      </c>
      <c r="S40" s="1">
        <v>1450</v>
      </c>
      <c r="T40" s="1">
        <v>1927</v>
      </c>
      <c r="U40" s="1">
        <v>1920</v>
      </c>
      <c r="V40" s="1">
        <v>1760</v>
      </c>
      <c r="W40" s="1">
        <v>1867</v>
      </c>
      <c r="X40" s="1">
        <v>1275</v>
      </c>
      <c r="Y40" s="5">
        <v>1114</v>
      </c>
      <c r="Z40" s="5">
        <v>1287</v>
      </c>
      <c r="AA40" s="5">
        <v>1357</v>
      </c>
      <c r="AB40" s="5">
        <v>980</v>
      </c>
      <c r="AC40" s="5">
        <v>1094</v>
      </c>
      <c r="AD40" s="5">
        <v>1321</v>
      </c>
      <c r="AE40" s="5">
        <v>1196</v>
      </c>
      <c r="AF40" s="52">
        <v>1020</v>
      </c>
      <c r="AG40" s="5">
        <v>1089</v>
      </c>
      <c r="AH40" s="5">
        <v>1150</v>
      </c>
      <c r="AI40" s="185">
        <v>1081</v>
      </c>
      <c r="AJ40" s="365">
        <v>1144</v>
      </c>
      <c r="AK40" s="365">
        <v>1127</v>
      </c>
      <c r="AL40" s="365">
        <v>1045</v>
      </c>
      <c r="AM40" s="365">
        <v>1076</v>
      </c>
      <c r="AN40" s="365">
        <v>1032</v>
      </c>
      <c r="AO40" s="365">
        <v>960</v>
      </c>
      <c r="AP40" s="366">
        <f>(R40+T40+V40+X40+Z40+AB40+AD40+AF40+AH40+AJ40+AL40+AN40)</f>
        <v>15175</v>
      </c>
      <c r="AQ40" s="366">
        <f>(S40+U40+W40+Y40+AA40+AC40+AE40+AG40+AI40+AK40+AM40+AO40)</f>
        <v>15331</v>
      </c>
      <c r="AR40" s="50">
        <f t="shared" si="4"/>
        <v>0.9898245385167308</v>
      </c>
      <c r="AS40" s="88">
        <f t="shared" ref="AS40:AS46" si="5">IFERROR((R40+T40+V40)/(U40+S40+W40),"")</f>
        <v>0.93966011075042966</v>
      </c>
      <c r="AT40" s="406">
        <f>IFERROR((X40+Z40+AB40)/(AA40+Y40+AC40),"")</f>
        <v>0.99354838709677418</v>
      </c>
      <c r="AU40" s="251">
        <f>IFERROR((AE40+AG40+AI40)/(AF40+AH40+AJ40),"0")</f>
        <v>1.0156910078455039</v>
      </c>
      <c r="AV40" s="251">
        <f>IFERROR((AJ40+AL40+AN40)/(AK40+AM40+AO40),"0")</f>
        <v>1.018337021814733</v>
      </c>
      <c r="AW40" s="209" t="s">
        <v>73</v>
      </c>
      <c r="AX40" s="175" t="s">
        <v>306</v>
      </c>
      <c r="AY40" s="63"/>
      <c r="AZ40" s="63"/>
      <c r="BA40" s="63"/>
    </row>
    <row r="41" spans="1:54" s="63" customFormat="1" ht="93.75" customHeight="1" x14ac:dyDescent="0.25">
      <c r="A41" s="365" t="s">
        <v>135</v>
      </c>
      <c r="B41" s="365" t="s">
        <v>299</v>
      </c>
      <c r="C41" s="365" t="s">
        <v>307</v>
      </c>
      <c r="D41" s="364" t="s">
        <v>308</v>
      </c>
      <c r="E41" s="364" t="s">
        <v>309</v>
      </c>
      <c r="F41" s="364" t="s">
        <v>303</v>
      </c>
      <c r="G41" s="364" t="s">
        <v>83</v>
      </c>
      <c r="H41" s="365" t="s">
        <v>43</v>
      </c>
      <c r="I41" s="364" t="s">
        <v>44</v>
      </c>
      <c r="J41" s="364" t="s">
        <v>45</v>
      </c>
      <c r="K41" s="364" t="s">
        <v>310</v>
      </c>
      <c r="L41" s="364" t="s">
        <v>311</v>
      </c>
      <c r="M41" s="364"/>
      <c r="N41" s="364"/>
      <c r="O41" s="365" t="s">
        <v>59</v>
      </c>
      <c r="P41" s="365" t="s">
        <v>72</v>
      </c>
      <c r="Q41" s="374">
        <v>1</v>
      </c>
      <c r="R41" s="169">
        <v>62</v>
      </c>
      <c r="S41" s="1">
        <v>64</v>
      </c>
      <c r="T41" s="1">
        <v>71</v>
      </c>
      <c r="U41" s="1">
        <v>75</v>
      </c>
      <c r="V41" s="1">
        <v>80</v>
      </c>
      <c r="W41" s="1">
        <v>87</v>
      </c>
      <c r="X41" s="1">
        <v>61</v>
      </c>
      <c r="Y41" s="1">
        <v>63</v>
      </c>
      <c r="Z41" s="5">
        <v>69</v>
      </c>
      <c r="AA41" s="5">
        <v>75</v>
      </c>
      <c r="AB41" s="5">
        <v>82</v>
      </c>
      <c r="AC41" s="5">
        <v>87</v>
      </c>
      <c r="AD41" s="5">
        <v>76</v>
      </c>
      <c r="AE41" s="5">
        <v>78</v>
      </c>
      <c r="AF41" s="5">
        <v>74</v>
      </c>
      <c r="AG41" s="5">
        <v>77</v>
      </c>
      <c r="AH41" s="5">
        <v>58</v>
      </c>
      <c r="AI41" s="185">
        <v>60</v>
      </c>
      <c r="AJ41" s="365">
        <v>56</v>
      </c>
      <c r="AK41" s="365">
        <v>56</v>
      </c>
      <c r="AL41" s="365">
        <v>51</v>
      </c>
      <c r="AM41" s="365">
        <v>51</v>
      </c>
      <c r="AN41" s="365">
        <v>47</v>
      </c>
      <c r="AO41" s="365">
        <v>50</v>
      </c>
      <c r="AP41" s="366">
        <f>(R41+T41+V41+X41+Z41+AB41+AD41+AF41+AH41+AJ41+AL41+AN41)</f>
        <v>787</v>
      </c>
      <c r="AQ41" s="366">
        <f>(S41+U41+W41+Y41+AA41+AC41+AE41+AG41+AI41+AK41+AM41+AO41)</f>
        <v>823</v>
      </c>
      <c r="AR41" s="50">
        <f t="shared" si="4"/>
        <v>0.95625759416767919</v>
      </c>
      <c r="AS41" s="88">
        <f t="shared" si="5"/>
        <v>0.94247787610619471</v>
      </c>
      <c r="AT41" s="401">
        <f>IFERROR((X41+Z41+AB41)/(AA41+Y41+AC41),"")</f>
        <v>0.94222222222222218</v>
      </c>
      <c r="AU41" s="88">
        <f>(AD41+AF41+AH41)/(AE41+AG41+AI41)</f>
        <v>0.96744186046511627</v>
      </c>
      <c r="AV41" s="88">
        <f>IFERROR((AJ41+AL41+AN41)/(AK41+AM41+AO41),"0")</f>
        <v>0.98089171974522293</v>
      </c>
      <c r="AW41" s="209" t="s">
        <v>73</v>
      </c>
      <c r="AX41" s="175" t="s">
        <v>312</v>
      </c>
      <c r="BB41" s="4"/>
    </row>
    <row r="42" spans="1:54" s="63" customFormat="1" ht="78.75" hidden="1" customHeight="1" x14ac:dyDescent="0.25">
      <c r="A42" s="63" t="s">
        <v>135</v>
      </c>
      <c r="B42" s="63" t="s">
        <v>136</v>
      </c>
      <c r="C42" s="138" t="s">
        <v>313</v>
      </c>
      <c r="D42" s="413" t="s">
        <v>314</v>
      </c>
      <c r="E42" s="414" t="s">
        <v>315</v>
      </c>
      <c r="F42" s="414" t="s">
        <v>140</v>
      </c>
      <c r="G42" s="414" t="s">
        <v>109</v>
      </c>
      <c r="H42" s="264" t="s">
        <v>43</v>
      </c>
      <c r="I42" s="414" t="s">
        <v>44</v>
      </c>
      <c r="J42" s="414" t="s">
        <v>45</v>
      </c>
      <c r="K42" s="414" t="s">
        <v>316</v>
      </c>
      <c r="L42" s="414" t="s">
        <v>317</v>
      </c>
      <c r="M42" s="414"/>
      <c r="N42" s="414"/>
      <c r="O42" s="414" t="s">
        <v>86</v>
      </c>
      <c r="P42" s="414" t="s">
        <v>50</v>
      </c>
      <c r="Q42" s="415">
        <v>1</v>
      </c>
      <c r="R42" s="52">
        <v>231</v>
      </c>
      <c r="S42" s="52">
        <v>231</v>
      </c>
      <c r="T42" s="52">
        <v>419</v>
      </c>
      <c r="U42" s="52">
        <v>419</v>
      </c>
      <c r="V42" s="102">
        <v>418</v>
      </c>
      <c r="W42" s="52">
        <v>421</v>
      </c>
      <c r="X42" s="49">
        <v>337</v>
      </c>
      <c r="Y42" s="52">
        <v>337</v>
      </c>
      <c r="Z42" s="52">
        <v>387</v>
      </c>
      <c r="AA42" s="52">
        <v>387</v>
      </c>
      <c r="AB42" s="52">
        <v>266</v>
      </c>
      <c r="AC42" s="52">
        <v>268</v>
      </c>
      <c r="AD42" s="78"/>
      <c r="AE42" s="78"/>
      <c r="AF42" s="78"/>
      <c r="AG42" s="78"/>
      <c r="AH42" s="78"/>
      <c r="AI42" s="78"/>
      <c r="AJ42" s="416"/>
      <c r="AK42" s="416"/>
      <c r="AL42" s="416"/>
      <c r="AM42" s="416"/>
      <c r="AN42" s="416"/>
      <c r="AO42" s="416"/>
      <c r="AP42" s="414">
        <f>R42+T42+V42+X42+Z42+AB42+AD42+AF42+AH42+AJ42+AL42+AN42</f>
        <v>2058</v>
      </c>
      <c r="AQ42" s="414">
        <f>S42+U42+W42+Y42+AA42+AC42+AE42+AG42+AI42+AK42+AM42+AO42</f>
        <v>2063</v>
      </c>
      <c r="AR42" s="417">
        <f t="shared" si="4"/>
        <v>0.99757634512845372</v>
      </c>
      <c r="AS42" s="417">
        <f t="shared" si="5"/>
        <v>0.99719887955182074</v>
      </c>
      <c r="AT42" s="89">
        <f>IFERROR((X42+Z42+AB42)/(Y42+AA42+AC42),"")</f>
        <v>0.99798387096774188</v>
      </c>
      <c r="AU42" s="89"/>
      <c r="AV42" s="89"/>
      <c r="AW42" s="271"/>
      <c r="AX42" s="201" t="s">
        <v>318</v>
      </c>
      <c r="AY42" s="269"/>
      <c r="AZ42" s="70"/>
      <c r="BA42" s="66"/>
    </row>
    <row r="43" spans="1:54" s="63" customFormat="1" ht="93.75" customHeight="1" x14ac:dyDescent="0.25">
      <c r="A43" s="365" t="s">
        <v>135</v>
      </c>
      <c r="B43" s="365" t="s">
        <v>299</v>
      </c>
      <c r="C43" s="365" t="s">
        <v>319</v>
      </c>
      <c r="D43" s="364" t="s">
        <v>320</v>
      </c>
      <c r="E43" s="364" t="s">
        <v>321</v>
      </c>
      <c r="F43" s="364" t="s">
        <v>303</v>
      </c>
      <c r="G43" s="364" t="s">
        <v>42</v>
      </c>
      <c r="H43" s="365" t="s">
        <v>43</v>
      </c>
      <c r="I43" s="364" t="s">
        <v>44</v>
      </c>
      <c r="J43" s="364" t="s">
        <v>45</v>
      </c>
      <c r="K43" s="364" t="s">
        <v>322</v>
      </c>
      <c r="L43" s="364" t="s">
        <v>323</v>
      </c>
      <c r="M43" s="364"/>
      <c r="N43" s="364"/>
      <c r="O43" s="365" t="s">
        <v>59</v>
      </c>
      <c r="P43" s="365" t="s">
        <v>72</v>
      </c>
      <c r="Q43" s="374">
        <v>1</v>
      </c>
      <c r="R43" s="169">
        <v>132</v>
      </c>
      <c r="S43" s="1">
        <v>159</v>
      </c>
      <c r="T43" s="1">
        <v>185</v>
      </c>
      <c r="U43" s="1">
        <v>188</v>
      </c>
      <c r="V43" s="1">
        <v>168</v>
      </c>
      <c r="W43" s="1">
        <v>170</v>
      </c>
      <c r="X43" s="5">
        <v>107</v>
      </c>
      <c r="Y43" s="5">
        <v>90</v>
      </c>
      <c r="Z43" s="5">
        <v>186</v>
      </c>
      <c r="AA43" s="5">
        <v>231</v>
      </c>
      <c r="AB43" s="5">
        <v>171</v>
      </c>
      <c r="AC43" s="5">
        <v>179</v>
      </c>
      <c r="AD43" s="5">
        <v>240</v>
      </c>
      <c r="AE43" s="5">
        <v>239</v>
      </c>
      <c r="AF43" s="52">
        <v>272</v>
      </c>
      <c r="AG43" s="5">
        <v>314</v>
      </c>
      <c r="AH43" s="5">
        <v>315</v>
      </c>
      <c r="AI43" s="185">
        <v>249</v>
      </c>
      <c r="AJ43" s="365">
        <v>247</v>
      </c>
      <c r="AK43" s="365">
        <v>267</v>
      </c>
      <c r="AL43" s="365">
        <v>248</v>
      </c>
      <c r="AM43" s="365">
        <v>261</v>
      </c>
      <c r="AN43" s="365">
        <v>338</v>
      </c>
      <c r="AO43" s="365">
        <v>321</v>
      </c>
      <c r="AP43" s="366">
        <f t="shared" ref="AP43:AQ46" si="6">(R43+T43+V43+X43+Z43+AB43+AD43+AF43+AH43+AJ43+AL43+AN43)</f>
        <v>2609</v>
      </c>
      <c r="AQ43" s="366">
        <f t="shared" si="6"/>
        <v>2668</v>
      </c>
      <c r="AR43" s="50">
        <f t="shared" si="4"/>
        <v>0.97788605697151421</v>
      </c>
      <c r="AS43" s="88">
        <f t="shared" si="5"/>
        <v>0.93810444874274657</v>
      </c>
      <c r="AT43" s="401">
        <f>IFERROR((X43+Z43+AB43)/(AA43+Y43+AC43),"")</f>
        <v>0.92800000000000005</v>
      </c>
      <c r="AU43" s="88">
        <f>(AD43+AF43+AH43)/(AE43+AG43+AI43)</f>
        <v>1.0311720698254363</v>
      </c>
      <c r="AV43" s="88">
        <f>IFERROR((AJ43+AL43+AN43)/(AK43+AM43+AO43),"0")</f>
        <v>0.98115429917550057</v>
      </c>
      <c r="AW43" s="209" t="s">
        <v>73</v>
      </c>
      <c r="AX43" s="175" t="s">
        <v>306</v>
      </c>
      <c r="AY43" s="139"/>
    </row>
    <row r="44" spans="1:54" s="63" customFormat="1" ht="93.75" customHeight="1" x14ac:dyDescent="0.25">
      <c r="A44" s="365" t="s">
        <v>135</v>
      </c>
      <c r="B44" s="365" t="s">
        <v>299</v>
      </c>
      <c r="C44" s="365" t="s">
        <v>324</v>
      </c>
      <c r="D44" s="364" t="s">
        <v>325</v>
      </c>
      <c r="E44" s="364" t="s">
        <v>326</v>
      </c>
      <c r="F44" s="364" t="s">
        <v>303</v>
      </c>
      <c r="G44" s="364" t="s">
        <v>42</v>
      </c>
      <c r="H44" s="365" t="s">
        <v>43</v>
      </c>
      <c r="I44" s="364" t="s">
        <v>44</v>
      </c>
      <c r="J44" s="364" t="s">
        <v>45</v>
      </c>
      <c r="K44" s="364" t="s">
        <v>327</v>
      </c>
      <c r="L44" s="364" t="s">
        <v>328</v>
      </c>
      <c r="M44" s="364"/>
      <c r="N44" s="364"/>
      <c r="O44" s="365" t="s">
        <v>59</v>
      </c>
      <c r="P44" s="365" t="s">
        <v>72</v>
      </c>
      <c r="Q44" s="374">
        <v>1</v>
      </c>
      <c r="R44" s="169">
        <v>1102</v>
      </c>
      <c r="S44" s="1">
        <v>1291</v>
      </c>
      <c r="T44" s="1">
        <v>1742</v>
      </c>
      <c r="U44" s="1">
        <v>1732</v>
      </c>
      <c r="V44" s="1">
        <v>1592</v>
      </c>
      <c r="W44" s="1">
        <v>1697</v>
      </c>
      <c r="X44" s="5">
        <v>1168</v>
      </c>
      <c r="Y44" s="5">
        <v>1024</v>
      </c>
      <c r="Z44" s="5">
        <v>1101</v>
      </c>
      <c r="AA44" s="5">
        <v>1126</v>
      </c>
      <c r="AB44" s="5">
        <v>809</v>
      </c>
      <c r="AC44" s="5">
        <v>915</v>
      </c>
      <c r="AD44" s="5">
        <v>1081</v>
      </c>
      <c r="AE44" s="5">
        <v>957</v>
      </c>
      <c r="AF44" s="52">
        <v>748</v>
      </c>
      <c r="AG44" s="5">
        <v>775</v>
      </c>
      <c r="AH44" s="5">
        <v>835</v>
      </c>
      <c r="AI44" s="185">
        <v>832</v>
      </c>
      <c r="AJ44" s="365">
        <v>897</v>
      </c>
      <c r="AK44" s="365">
        <v>860</v>
      </c>
      <c r="AL44" s="365">
        <v>797</v>
      </c>
      <c r="AM44" s="365">
        <v>815</v>
      </c>
      <c r="AN44" s="365">
        <v>694</v>
      </c>
      <c r="AO44" s="365">
        <v>639</v>
      </c>
      <c r="AP44" s="366">
        <f t="shared" si="6"/>
        <v>12566</v>
      </c>
      <c r="AQ44" s="366">
        <f t="shared" si="6"/>
        <v>12663</v>
      </c>
      <c r="AR44" s="50">
        <f t="shared" si="4"/>
        <v>0.99233988786227589</v>
      </c>
      <c r="AS44" s="89">
        <f t="shared" si="5"/>
        <v>0.93983050847457628</v>
      </c>
      <c r="AT44" s="401">
        <f>IFERROR((X44+Z44+AB44)/(AA44+Y44+AC44),"")</f>
        <v>1.0042414355628058</v>
      </c>
      <c r="AU44" s="88">
        <f>(AD44+AF44+AH44)/(AE44+AG44+AI44)</f>
        <v>1.0390015600624025</v>
      </c>
      <c r="AV44" s="88">
        <f>IFERROR((AJ44+AL44+AN44)/(AK44+AM44+AO44),"0")</f>
        <v>1.0319792566983579</v>
      </c>
      <c r="AW44" s="209" t="s">
        <v>73</v>
      </c>
      <c r="AX44" s="175" t="s">
        <v>306</v>
      </c>
    </row>
    <row r="45" spans="1:54" s="63" customFormat="1" ht="93.75" customHeight="1" x14ac:dyDescent="0.25">
      <c r="A45" s="365" t="s">
        <v>135</v>
      </c>
      <c r="B45" s="365" t="s">
        <v>299</v>
      </c>
      <c r="C45" s="365" t="s">
        <v>329</v>
      </c>
      <c r="D45" s="364" t="s">
        <v>330</v>
      </c>
      <c r="E45" s="364" t="s">
        <v>331</v>
      </c>
      <c r="F45" s="364" t="s">
        <v>303</v>
      </c>
      <c r="G45" s="364" t="s">
        <v>42</v>
      </c>
      <c r="H45" s="365" t="s">
        <v>43</v>
      </c>
      <c r="I45" s="364" t="s">
        <v>44</v>
      </c>
      <c r="J45" s="364" t="s">
        <v>45</v>
      </c>
      <c r="K45" s="364" t="s">
        <v>332</v>
      </c>
      <c r="L45" s="364" t="s">
        <v>333</v>
      </c>
      <c r="M45" s="364"/>
      <c r="N45" s="364"/>
      <c r="O45" s="365" t="s">
        <v>59</v>
      </c>
      <c r="P45" s="365" t="s">
        <v>72</v>
      </c>
      <c r="Q45" s="374">
        <v>1</v>
      </c>
      <c r="R45" s="169">
        <v>6</v>
      </c>
      <c r="S45" s="1">
        <v>6</v>
      </c>
      <c r="T45" s="1">
        <v>6</v>
      </c>
      <c r="U45" s="1">
        <v>6</v>
      </c>
      <c r="V45" s="1">
        <v>6</v>
      </c>
      <c r="W45" s="63">
        <v>6</v>
      </c>
      <c r="X45" s="5">
        <v>5</v>
      </c>
      <c r="Y45" s="5">
        <v>5</v>
      </c>
      <c r="Z45" s="5">
        <v>8</v>
      </c>
      <c r="AA45" s="5">
        <v>8</v>
      </c>
      <c r="AB45" s="5">
        <v>10</v>
      </c>
      <c r="AC45" s="5">
        <v>10</v>
      </c>
      <c r="AD45" s="5">
        <v>10</v>
      </c>
      <c r="AE45" s="5">
        <v>10</v>
      </c>
      <c r="AF45" s="5">
        <v>15</v>
      </c>
      <c r="AG45" s="5">
        <v>15</v>
      </c>
      <c r="AH45" s="5">
        <v>6</v>
      </c>
      <c r="AI45" s="185">
        <v>6</v>
      </c>
      <c r="AJ45" s="365">
        <v>5</v>
      </c>
      <c r="AK45" s="365">
        <v>5</v>
      </c>
      <c r="AL45" s="365">
        <v>7</v>
      </c>
      <c r="AM45" s="365">
        <v>7</v>
      </c>
      <c r="AN45" s="365">
        <v>6</v>
      </c>
      <c r="AO45" s="365">
        <v>6</v>
      </c>
      <c r="AP45" s="366">
        <f t="shared" si="6"/>
        <v>90</v>
      </c>
      <c r="AQ45" s="366">
        <f t="shared" si="6"/>
        <v>90</v>
      </c>
      <c r="AR45" s="50">
        <f t="shared" si="4"/>
        <v>1</v>
      </c>
      <c r="AS45" s="88">
        <f t="shared" si="5"/>
        <v>1</v>
      </c>
      <c r="AT45" s="401">
        <f>IFERROR((X45+Z45+AB45)/(AA45+Y45+AC45),"")</f>
        <v>1</v>
      </c>
      <c r="AU45" s="88">
        <f>(AD45+AF45+AH45)/(AE45+AG45+AI45)</f>
        <v>1</v>
      </c>
      <c r="AV45" s="88">
        <f t="shared" ref="AV45:AV46" si="7">IFERROR((AJ45+AL45+AN45)/(AK45+AM45+AO45),"0")</f>
        <v>1</v>
      </c>
      <c r="AW45" s="209" t="s">
        <v>73</v>
      </c>
      <c r="AX45" s="175" t="s">
        <v>334</v>
      </c>
      <c r="AY45" s="139"/>
    </row>
    <row r="46" spans="1:54" s="63" customFormat="1" ht="93.75" customHeight="1" x14ac:dyDescent="0.25">
      <c r="A46" s="365" t="s">
        <v>135</v>
      </c>
      <c r="B46" s="365" t="s">
        <v>299</v>
      </c>
      <c r="C46" s="365" t="s">
        <v>335</v>
      </c>
      <c r="D46" s="364" t="s">
        <v>336</v>
      </c>
      <c r="E46" s="364" t="s">
        <v>337</v>
      </c>
      <c r="F46" s="364" t="s">
        <v>303</v>
      </c>
      <c r="G46" s="364" t="s">
        <v>42</v>
      </c>
      <c r="H46" s="365" t="s">
        <v>43</v>
      </c>
      <c r="I46" s="364" t="s">
        <v>44</v>
      </c>
      <c r="J46" s="364" t="s">
        <v>45</v>
      </c>
      <c r="K46" s="364" t="s">
        <v>338</v>
      </c>
      <c r="L46" s="364" t="s">
        <v>339</v>
      </c>
      <c r="M46" s="364"/>
      <c r="N46" s="364"/>
      <c r="O46" s="365" t="s">
        <v>59</v>
      </c>
      <c r="P46" s="365" t="s">
        <v>72</v>
      </c>
      <c r="Q46" s="374">
        <v>1</v>
      </c>
      <c r="R46" s="169">
        <v>6</v>
      </c>
      <c r="S46" s="1">
        <v>6</v>
      </c>
      <c r="T46" s="1">
        <v>6</v>
      </c>
      <c r="U46" s="1">
        <v>6</v>
      </c>
      <c r="V46" s="1">
        <v>6</v>
      </c>
      <c r="W46" s="1">
        <v>6</v>
      </c>
      <c r="X46" s="5">
        <v>4</v>
      </c>
      <c r="Y46" s="5">
        <v>5</v>
      </c>
      <c r="Z46" s="5">
        <v>8</v>
      </c>
      <c r="AA46" s="5">
        <v>8</v>
      </c>
      <c r="AB46" s="5">
        <v>9</v>
      </c>
      <c r="AC46" s="5">
        <v>10</v>
      </c>
      <c r="AD46" s="5">
        <v>10</v>
      </c>
      <c r="AE46" s="5">
        <v>10</v>
      </c>
      <c r="AF46" s="5">
        <v>13</v>
      </c>
      <c r="AG46" s="5">
        <v>15</v>
      </c>
      <c r="AH46" s="5">
        <v>8</v>
      </c>
      <c r="AI46" s="185">
        <v>6</v>
      </c>
      <c r="AJ46" s="365">
        <v>5</v>
      </c>
      <c r="AK46" s="365">
        <v>5</v>
      </c>
      <c r="AL46" s="365">
        <v>4</v>
      </c>
      <c r="AM46" s="365">
        <v>7</v>
      </c>
      <c r="AN46" s="365">
        <v>7</v>
      </c>
      <c r="AO46" s="365">
        <v>6</v>
      </c>
      <c r="AP46" s="366">
        <f t="shared" si="6"/>
        <v>86</v>
      </c>
      <c r="AQ46" s="366">
        <f t="shared" si="6"/>
        <v>90</v>
      </c>
      <c r="AR46" s="50">
        <f t="shared" si="4"/>
        <v>0.9555555555555556</v>
      </c>
      <c r="AS46" s="88">
        <f t="shared" si="5"/>
        <v>1</v>
      </c>
      <c r="AT46" s="407">
        <f>IFERROR((X46+Z46+AB46)/(AA46+Y46+AC46),"")</f>
        <v>0.91304347826086951</v>
      </c>
      <c r="AU46" s="236">
        <f>(AD46+AF46+AH46)/(AE46+AG46+AI46)</f>
        <v>1</v>
      </c>
      <c r="AV46" s="236">
        <f t="shared" si="7"/>
        <v>0.88888888888888884</v>
      </c>
      <c r="AW46" s="209" t="s">
        <v>73</v>
      </c>
      <c r="AX46" s="175" t="s">
        <v>340</v>
      </c>
      <c r="AY46" s="139"/>
    </row>
    <row r="47" spans="1:54" s="63" customFormat="1" ht="108" customHeight="1" x14ac:dyDescent="0.25">
      <c r="A47" s="364" t="s">
        <v>205</v>
      </c>
      <c r="B47" s="364" t="s">
        <v>341</v>
      </c>
      <c r="C47" s="364" t="s">
        <v>342</v>
      </c>
      <c r="D47" s="364" t="s">
        <v>343</v>
      </c>
      <c r="E47" s="364" t="s">
        <v>344</v>
      </c>
      <c r="F47" s="364" t="s">
        <v>280</v>
      </c>
      <c r="G47" s="364" t="s">
        <v>42</v>
      </c>
      <c r="H47" s="365" t="s">
        <v>43</v>
      </c>
      <c r="I47" s="364" t="s">
        <v>44</v>
      </c>
      <c r="J47" s="364" t="s">
        <v>69</v>
      </c>
      <c r="K47" s="364" t="s">
        <v>345</v>
      </c>
      <c r="L47" s="364" t="s">
        <v>346</v>
      </c>
      <c r="M47" s="364"/>
      <c r="N47" s="364"/>
      <c r="O47" s="365" t="s">
        <v>59</v>
      </c>
      <c r="P47" s="365" t="s">
        <v>72</v>
      </c>
      <c r="Q47" s="374">
        <v>1</v>
      </c>
      <c r="R47" s="169"/>
      <c r="S47" s="1"/>
      <c r="T47" s="1"/>
      <c r="U47" s="1"/>
      <c r="V47" s="1">
        <v>4</v>
      </c>
      <c r="W47" s="1">
        <v>4</v>
      </c>
      <c r="X47" s="2"/>
      <c r="Y47" s="2"/>
      <c r="Z47" s="2"/>
      <c r="AA47" s="2"/>
      <c r="AB47" s="5">
        <v>4</v>
      </c>
      <c r="AC47" s="5">
        <v>4</v>
      </c>
      <c r="AD47" s="2"/>
      <c r="AE47" s="2"/>
      <c r="AF47" s="2"/>
      <c r="AG47" s="2"/>
      <c r="AH47" s="2">
        <v>3</v>
      </c>
      <c r="AI47" s="218">
        <v>3</v>
      </c>
      <c r="AJ47" s="373"/>
      <c r="AK47" s="373"/>
      <c r="AL47" s="373"/>
      <c r="AM47" s="373"/>
      <c r="AN47" s="365">
        <v>3</v>
      </c>
      <c r="AO47" s="365">
        <v>3</v>
      </c>
      <c r="AP47" s="366"/>
      <c r="AQ47" s="366"/>
      <c r="AR47" s="50"/>
      <c r="AS47" s="50">
        <f>V47/W47</f>
        <v>1</v>
      </c>
      <c r="AT47" s="403">
        <f>AB47/AC47</f>
        <v>1</v>
      </c>
      <c r="AU47" s="210">
        <f>AH47/AI47</f>
        <v>1</v>
      </c>
      <c r="AV47" s="209">
        <f>AN47/AO47</f>
        <v>1</v>
      </c>
      <c r="AW47" s="212" t="s">
        <v>73</v>
      </c>
      <c r="AX47" s="175" t="s">
        <v>283</v>
      </c>
      <c r="AZ47" s="3"/>
      <c r="BA47" s="3"/>
    </row>
    <row r="48" spans="1:54" s="63" customFormat="1" ht="112.5" customHeight="1" x14ac:dyDescent="0.25">
      <c r="A48" s="364" t="s">
        <v>205</v>
      </c>
      <c r="B48" s="364" t="s">
        <v>341</v>
      </c>
      <c r="C48" s="364" t="s">
        <v>347</v>
      </c>
      <c r="D48" s="364" t="s">
        <v>348</v>
      </c>
      <c r="E48" s="364" t="s">
        <v>349</v>
      </c>
      <c r="F48" s="364" t="s">
        <v>280</v>
      </c>
      <c r="G48" s="364" t="s">
        <v>42</v>
      </c>
      <c r="H48" s="365" t="s">
        <v>43</v>
      </c>
      <c r="I48" s="364" t="s">
        <v>68</v>
      </c>
      <c r="J48" s="364" t="s">
        <v>69</v>
      </c>
      <c r="K48" s="364" t="s">
        <v>350</v>
      </c>
      <c r="L48" s="364" t="s">
        <v>351</v>
      </c>
      <c r="M48" s="364"/>
      <c r="N48" s="364"/>
      <c r="O48" s="365" t="s">
        <v>59</v>
      </c>
      <c r="P48" s="365" t="s">
        <v>72</v>
      </c>
      <c r="Q48" s="374">
        <v>1</v>
      </c>
      <c r="R48" s="169"/>
      <c r="S48" s="1"/>
      <c r="T48" s="1"/>
      <c r="U48" s="1"/>
      <c r="V48" s="1">
        <v>67</v>
      </c>
      <c r="W48" s="1">
        <v>67</v>
      </c>
      <c r="X48" s="2"/>
      <c r="Y48" s="2"/>
      <c r="Z48" s="2"/>
      <c r="AA48" s="2"/>
      <c r="AB48" s="5">
        <v>33</v>
      </c>
      <c r="AC48" s="5">
        <v>33</v>
      </c>
      <c r="AD48" s="1"/>
      <c r="AE48" s="2"/>
      <c r="AF48" s="2"/>
      <c r="AG48" s="2"/>
      <c r="AH48" s="2">
        <v>46</v>
      </c>
      <c r="AI48" s="218">
        <v>46</v>
      </c>
      <c r="AJ48" s="373"/>
      <c r="AK48" s="373"/>
      <c r="AL48" s="373"/>
      <c r="AM48" s="373"/>
      <c r="AN48" s="365">
        <v>48</v>
      </c>
      <c r="AO48" s="365">
        <v>48</v>
      </c>
      <c r="AP48" s="366"/>
      <c r="AQ48" s="366"/>
      <c r="AR48" s="50"/>
      <c r="AS48" s="50">
        <f>V48/W48</f>
        <v>1</v>
      </c>
      <c r="AT48" s="403">
        <f>AB48/AC48</f>
        <v>1</v>
      </c>
      <c r="AU48" s="210">
        <f>AH48/AI48</f>
        <v>1</v>
      </c>
      <c r="AV48" s="209">
        <f>AN48/AO48</f>
        <v>1</v>
      </c>
      <c r="AW48" s="212" t="s">
        <v>73</v>
      </c>
      <c r="AX48" s="175" t="s">
        <v>352</v>
      </c>
    </row>
    <row r="49" spans="1:54" s="4" customFormat="1" ht="51" x14ac:dyDescent="0.25">
      <c r="A49" s="364" t="s">
        <v>205</v>
      </c>
      <c r="B49" s="364" t="s">
        <v>341</v>
      </c>
      <c r="C49" s="364" t="s">
        <v>353</v>
      </c>
      <c r="D49" s="364" t="s">
        <v>354</v>
      </c>
      <c r="E49" s="364" t="s">
        <v>355</v>
      </c>
      <c r="F49" s="364" t="s">
        <v>280</v>
      </c>
      <c r="G49" s="364" t="s">
        <v>42</v>
      </c>
      <c r="H49" s="365" t="s">
        <v>43</v>
      </c>
      <c r="I49" s="364" t="s">
        <v>44</v>
      </c>
      <c r="J49" s="364" t="s">
        <v>69</v>
      </c>
      <c r="K49" s="364" t="s">
        <v>356</v>
      </c>
      <c r="L49" s="364" t="s">
        <v>357</v>
      </c>
      <c r="M49" s="364"/>
      <c r="N49" s="364"/>
      <c r="O49" s="365" t="s">
        <v>59</v>
      </c>
      <c r="P49" s="365" t="s">
        <v>72</v>
      </c>
      <c r="Q49" s="374">
        <v>1</v>
      </c>
      <c r="R49" s="169"/>
      <c r="S49" s="1"/>
      <c r="T49" s="1"/>
      <c r="U49" s="1"/>
      <c r="V49" s="1">
        <v>16516</v>
      </c>
      <c r="W49" s="1">
        <v>16516</v>
      </c>
      <c r="X49" s="2"/>
      <c r="Y49" s="2"/>
      <c r="Z49" s="2"/>
      <c r="AA49" s="2"/>
      <c r="AB49" s="5">
        <f>10599+1944+6888</f>
        <v>19431</v>
      </c>
      <c r="AC49" s="5">
        <v>19431</v>
      </c>
      <c r="AD49" s="2"/>
      <c r="AE49" s="2"/>
      <c r="AF49" s="2"/>
      <c r="AG49" s="2"/>
      <c r="AH49" s="2">
        <v>21898</v>
      </c>
      <c r="AI49" s="218">
        <v>21898</v>
      </c>
      <c r="AJ49" s="373"/>
      <c r="AK49" s="373"/>
      <c r="AL49" s="373"/>
      <c r="AM49" s="373"/>
      <c r="AN49" s="365">
        <v>22247</v>
      </c>
      <c r="AO49" s="365">
        <v>22247</v>
      </c>
      <c r="AP49" s="366"/>
      <c r="AQ49" s="366"/>
      <c r="AR49" s="50"/>
      <c r="AS49" s="50">
        <f>V49/W49</f>
        <v>1</v>
      </c>
      <c r="AT49" s="403">
        <f>AB49/AC49</f>
        <v>1</v>
      </c>
      <c r="AU49" s="210">
        <f>AH49/AI49</f>
        <v>1</v>
      </c>
      <c r="AV49" s="209">
        <f>AN49/AO49</f>
        <v>1</v>
      </c>
      <c r="AW49" s="212" t="s">
        <v>73</v>
      </c>
      <c r="AX49" s="175" t="s">
        <v>352</v>
      </c>
      <c r="AY49" s="63"/>
      <c r="BB49" s="63"/>
    </row>
    <row r="50" spans="1:54" s="63" customFormat="1" ht="103.5" hidden="1" customHeight="1" x14ac:dyDescent="0.25">
      <c r="A50" s="63" t="s">
        <v>135</v>
      </c>
      <c r="B50" s="63" t="s">
        <v>358</v>
      </c>
      <c r="C50" s="138" t="s">
        <v>359</v>
      </c>
      <c r="D50" s="254" t="s">
        <v>360</v>
      </c>
      <c r="E50" s="150" t="s">
        <v>361</v>
      </c>
      <c r="F50" s="150" t="s">
        <v>362</v>
      </c>
      <c r="G50" s="150" t="s">
        <v>42</v>
      </c>
      <c r="H50" s="155" t="s">
        <v>43</v>
      </c>
      <c r="I50" s="150" t="s">
        <v>44</v>
      </c>
      <c r="J50" s="155" t="s">
        <v>45</v>
      </c>
      <c r="K50" s="150" t="s">
        <v>363</v>
      </c>
      <c r="L50" s="150" t="s">
        <v>364</v>
      </c>
      <c r="M50" s="150"/>
      <c r="N50" s="150"/>
      <c r="O50" s="155" t="s">
        <v>59</v>
      </c>
      <c r="P50" s="155" t="s">
        <v>50</v>
      </c>
      <c r="Q50" s="156">
        <v>1</v>
      </c>
      <c r="R50" s="1">
        <v>4</v>
      </c>
      <c r="S50" s="1">
        <v>4</v>
      </c>
      <c r="T50" s="1">
        <v>4</v>
      </c>
      <c r="U50" s="1">
        <v>4</v>
      </c>
      <c r="V50" s="1">
        <v>4</v>
      </c>
      <c r="W50" s="5">
        <v>4</v>
      </c>
      <c r="X50" s="5">
        <v>4</v>
      </c>
      <c r="Y50" s="5">
        <v>4</v>
      </c>
      <c r="Z50" s="5">
        <v>4</v>
      </c>
      <c r="AA50" s="5">
        <v>4</v>
      </c>
      <c r="AB50" s="135">
        <v>4</v>
      </c>
      <c r="AC50" s="135">
        <v>4</v>
      </c>
      <c r="AD50" s="5"/>
      <c r="AE50" s="5"/>
      <c r="AF50" s="5"/>
      <c r="AG50" s="5"/>
      <c r="AH50" s="5"/>
      <c r="AI50" s="5"/>
      <c r="AJ50" s="155"/>
      <c r="AK50" s="155"/>
      <c r="AL50" s="155"/>
      <c r="AM50" s="155"/>
      <c r="AN50" s="155"/>
      <c r="AO50" s="255"/>
      <c r="AP50" s="157">
        <f>R50+T50+V50+X50+Z50+AB50+AD50+AD50+AF50+AH50+AJ50+AL50+AN50</f>
        <v>24</v>
      </c>
      <c r="AQ50" s="157">
        <f>S50+U50+W50+Y50+AA50+AC50+AE50+AE50+AG50+AI50+AK50+AM50+AO50</f>
        <v>24</v>
      </c>
      <c r="AR50" s="253">
        <f>AP50/AQ50</f>
        <v>1</v>
      </c>
      <c r="AS50" s="160">
        <f>(R50+T50+V50)/(S50+U50+W50)</f>
        <v>1</v>
      </c>
      <c r="AT50" s="160">
        <f>(X50+Z50+AB50)/(Y50+AA50+AC50)</f>
        <v>1</v>
      </c>
      <c r="AU50" s="160"/>
      <c r="AV50" s="160"/>
      <c r="AW50" s="253"/>
      <c r="AX50" s="162" t="s">
        <v>365</v>
      </c>
    </row>
    <row r="51" spans="1:54" s="131" customFormat="1" ht="27.75" hidden="1" customHeight="1" x14ac:dyDescent="0.25">
      <c r="A51" s="131" t="s">
        <v>135</v>
      </c>
      <c r="B51" s="131" t="s">
        <v>299</v>
      </c>
      <c r="D51" s="238" t="s">
        <v>366</v>
      </c>
      <c r="E51" s="238" t="s">
        <v>367</v>
      </c>
      <c r="F51" s="229" t="s">
        <v>368</v>
      </c>
      <c r="G51" s="229" t="s">
        <v>42</v>
      </c>
      <c r="H51" s="239" t="s">
        <v>369</v>
      </c>
      <c r="I51" s="229" t="s">
        <v>44</v>
      </c>
      <c r="J51" s="229" t="s">
        <v>102</v>
      </c>
      <c r="K51" s="238" t="s">
        <v>370</v>
      </c>
      <c r="L51" s="238" t="s">
        <v>371</v>
      </c>
      <c r="M51" s="229"/>
      <c r="N51" s="229"/>
      <c r="O51" s="227" t="s">
        <v>59</v>
      </c>
      <c r="P51" s="227" t="s">
        <v>50</v>
      </c>
      <c r="Q51" s="227"/>
      <c r="R51" s="105"/>
      <c r="S51" s="105"/>
      <c r="T51" s="105"/>
      <c r="U51" s="105"/>
      <c r="V51" s="105"/>
      <c r="W51" s="105"/>
      <c r="X51" s="105"/>
      <c r="Y51" s="105"/>
      <c r="Z51" s="105"/>
      <c r="AA51" s="105"/>
      <c r="AB51" s="105"/>
      <c r="AC51" s="105"/>
      <c r="AD51" s="105"/>
      <c r="AE51" s="105"/>
      <c r="AF51" s="105"/>
      <c r="AG51" s="105"/>
      <c r="AH51" s="105"/>
      <c r="AI51" s="105"/>
      <c r="AJ51" s="229"/>
      <c r="AK51" s="229"/>
      <c r="AL51" s="229"/>
      <c r="AM51" s="229"/>
      <c r="AN51" s="229"/>
      <c r="AO51" s="229"/>
      <c r="AP51" s="230"/>
      <c r="AQ51" s="230"/>
      <c r="AR51" s="230"/>
      <c r="AS51" s="230"/>
      <c r="AT51" s="230"/>
      <c r="AU51" s="230"/>
      <c r="AV51" s="230"/>
      <c r="AW51" s="231"/>
      <c r="AX51" s="206"/>
    </row>
    <row r="52" spans="1:54" s="63" customFormat="1" ht="98.25" customHeight="1" x14ac:dyDescent="0.25">
      <c r="A52" s="364" t="s">
        <v>205</v>
      </c>
      <c r="B52" s="364" t="s">
        <v>341</v>
      </c>
      <c r="C52" s="364" t="s">
        <v>372</v>
      </c>
      <c r="D52" s="364" t="s">
        <v>373</v>
      </c>
      <c r="E52" s="364" t="s">
        <v>374</v>
      </c>
      <c r="F52" s="364" t="s">
        <v>280</v>
      </c>
      <c r="G52" s="364" t="s">
        <v>42</v>
      </c>
      <c r="H52" s="365" t="s">
        <v>43</v>
      </c>
      <c r="I52" s="364" t="s">
        <v>44</v>
      </c>
      <c r="J52" s="364" t="s">
        <v>295</v>
      </c>
      <c r="K52" s="364" t="s">
        <v>375</v>
      </c>
      <c r="L52" s="364" t="s">
        <v>376</v>
      </c>
      <c r="M52" s="364"/>
      <c r="N52" s="364"/>
      <c r="O52" s="365" t="s">
        <v>59</v>
      </c>
      <c r="P52" s="365" t="s">
        <v>72</v>
      </c>
      <c r="Q52" s="374">
        <v>1</v>
      </c>
      <c r="R52" s="169"/>
      <c r="S52" s="1"/>
      <c r="T52" s="1"/>
      <c r="U52" s="1"/>
      <c r="V52" s="1">
        <v>3</v>
      </c>
      <c r="W52" s="1">
        <v>3</v>
      </c>
      <c r="X52" s="2"/>
      <c r="Y52" s="2"/>
      <c r="Z52" s="2"/>
      <c r="AA52" s="2"/>
      <c r="AB52" s="2">
        <v>2</v>
      </c>
      <c r="AC52" s="2">
        <v>2</v>
      </c>
      <c r="AD52" s="2"/>
      <c r="AE52" s="2"/>
      <c r="AF52" s="2"/>
      <c r="AG52" s="2"/>
      <c r="AH52" s="2">
        <v>1</v>
      </c>
      <c r="AI52" s="218">
        <v>1</v>
      </c>
      <c r="AJ52" s="373"/>
      <c r="AK52" s="373"/>
      <c r="AL52" s="373"/>
      <c r="AM52" s="373"/>
      <c r="AN52" s="365">
        <v>1</v>
      </c>
      <c r="AO52" s="365">
        <v>1</v>
      </c>
      <c r="AP52" s="366"/>
      <c r="AQ52" s="366"/>
      <c r="AR52" s="50"/>
      <c r="AS52" s="50">
        <f>V52/W52</f>
        <v>1</v>
      </c>
      <c r="AT52" s="403">
        <f>AB52/AC52</f>
        <v>1</v>
      </c>
      <c r="AU52" s="210">
        <f>AH52/AI52</f>
        <v>1</v>
      </c>
      <c r="AV52" s="209">
        <f t="shared" ref="AV52:AV53" si="8">AN52/AO52</f>
        <v>1</v>
      </c>
      <c r="AW52" s="212" t="s">
        <v>73</v>
      </c>
      <c r="AX52" s="280" t="s">
        <v>283</v>
      </c>
      <c r="AZ52" s="4"/>
      <c r="BA52" s="4"/>
      <c r="BB52" s="4"/>
    </row>
    <row r="53" spans="1:54" s="63" customFormat="1" ht="98.25" customHeight="1" x14ac:dyDescent="0.25">
      <c r="A53" s="364" t="s">
        <v>205</v>
      </c>
      <c r="B53" s="364" t="s">
        <v>341</v>
      </c>
      <c r="C53" s="364" t="s">
        <v>377</v>
      </c>
      <c r="D53" s="364" t="s">
        <v>378</v>
      </c>
      <c r="E53" s="364" t="s">
        <v>379</v>
      </c>
      <c r="F53" s="364" t="s">
        <v>280</v>
      </c>
      <c r="G53" s="364" t="s">
        <v>42</v>
      </c>
      <c r="H53" s="365" t="s">
        <v>43</v>
      </c>
      <c r="I53" s="364" t="s">
        <v>44</v>
      </c>
      <c r="J53" s="364" t="s">
        <v>295</v>
      </c>
      <c r="K53" s="364" t="s">
        <v>380</v>
      </c>
      <c r="L53" s="364" t="s">
        <v>381</v>
      </c>
      <c r="M53" s="364"/>
      <c r="N53" s="364"/>
      <c r="O53" s="365" t="s">
        <v>59</v>
      </c>
      <c r="P53" s="365" t="s">
        <v>72</v>
      </c>
      <c r="Q53" s="374">
        <v>1</v>
      </c>
      <c r="R53" s="169"/>
      <c r="S53" s="1"/>
      <c r="T53" s="1"/>
      <c r="U53" s="1"/>
      <c r="V53" s="1">
        <v>3</v>
      </c>
      <c r="W53" s="1">
        <v>3</v>
      </c>
      <c r="X53" s="2"/>
      <c r="Y53" s="2"/>
      <c r="Z53" s="2"/>
      <c r="AA53" s="2"/>
      <c r="AB53" s="2">
        <v>5</v>
      </c>
      <c r="AC53" s="2">
        <v>5</v>
      </c>
      <c r="AD53" s="2"/>
      <c r="AE53" s="2"/>
      <c r="AF53" s="2"/>
      <c r="AG53" s="2"/>
      <c r="AH53" s="2">
        <v>6</v>
      </c>
      <c r="AI53" s="218">
        <v>6</v>
      </c>
      <c r="AJ53" s="373"/>
      <c r="AK53" s="373"/>
      <c r="AL53" s="373"/>
      <c r="AM53" s="373"/>
      <c r="AN53" s="365">
        <v>5</v>
      </c>
      <c r="AO53" s="365">
        <v>5</v>
      </c>
      <c r="AP53" s="366"/>
      <c r="AQ53" s="366"/>
      <c r="AR53" s="50"/>
      <c r="AS53" s="50">
        <f>V53/W53</f>
        <v>1</v>
      </c>
      <c r="AT53" s="403">
        <f>AB53/AC53</f>
        <v>1</v>
      </c>
      <c r="AU53" s="210">
        <f>AH53/AI53</f>
        <v>1</v>
      </c>
      <c r="AV53" s="209">
        <f t="shared" si="8"/>
        <v>1</v>
      </c>
      <c r="AW53" s="279" t="s">
        <v>73</v>
      </c>
      <c r="AX53" s="280" t="s">
        <v>283</v>
      </c>
      <c r="AZ53" s="4"/>
      <c r="BA53" s="4"/>
    </row>
    <row r="54" spans="1:54" s="113" customFormat="1" ht="98.25" hidden="1" customHeight="1" x14ac:dyDescent="0.25">
      <c r="A54" s="113" t="s">
        <v>135</v>
      </c>
      <c r="B54" s="113" t="s">
        <v>382</v>
      </c>
      <c r="D54" s="256" t="s">
        <v>383</v>
      </c>
      <c r="E54" s="256" t="s">
        <v>384</v>
      </c>
      <c r="F54" s="256" t="s">
        <v>385</v>
      </c>
      <c r="G54" s="256" t="s">
        <v>42</v>
      </c>
      <c r="H54" s="155" t="s">
        <v>43</v>
      </c>
      <c r="I54" s="256" t="s">
        <v>44</v>
      </c>
      <c r="J54" s="256" t="s">
        <v>102</v>
      </c>
      <c r="K54" s="256" t="s">
        <v>386</v>
      </c>
      <c r="L54" s="256" t="s">
        <v>387</v>
      </c>
      <c r="M54" s="256"/>
      <c r="N54" s="256"/>
      <c r="O54" s="257" t="s">
        <v>388</v>
      </c>
      <c r="P54" s="257" t="s">
        <v>50</v>
      </c>
      <c r="Q54" s="258">
        <v>0.92</v>
      </c>
      <c r="R54" s="111"/>
      <c r="S54" s="111"/>
      <c r="T54" s="111"/>
      <c r="U54" s="111"/>
      <c r="V54" s="111"/>
      <c r="W54" s="111"/>
      <c r="X54" s="105"/>
      <c r="Y54" s="105"/>
      <c r="Z54" s="105"/>
      <c r="AA54" s="105"/>
      <c r="AB54" s="105"/>
      <c r="AC54" s="105"/>
      <c r="AD54" s="105"/>
      <c r="AE54" s="105"/>
      <c r="AF54" s="105"/>
      <c r="AG54" s="105"/>
      <c r="AH54" s="105"/>
      <c r="AI54" s="105"/>
      <c r="AJ54" s="259"/>
      <c r="AK54" s="259"/>
      <c r="AL54" s="259"/>
      <c r="AM54" s="259"/>
      <c r="AN54" s="259"/>
      <c r="AO54" s="259"/>
      <c r="AP54" s="260"/>
      <c r="AQ54" s="260"/>
      <c r="AR54" s="261"/>
      <c r="AS54" s="262"/>
      <c r="AT54" s="262"/>
      <c r="AU54" s="262"/>
      <c r="AV54" s="262"/>
      <c r="AW54" s="263"/>
      <c r="AX54" s="207"/>
    </row>
    <row r="55" spans="1:54" s="113" customFormat="1" ht="98.25" hidden="1" customHeight="1" x14ac:dyDescent="0.25">
      <c r="A55" s="113" t="s">
        <v>135</v>
      </c>
      <c r="B55" s="113" t="s">
        <v>382</v>
      </c>
      <c r="D55" s="111" t="s">
        <v>389</v>
      </c>
      <c r="E55" s="111" t="s">
        <v>390</v>
      </c>
      <c r="F55" s="111" t="s">
        <v>385</v>
      </c>
      <c r="G55" s="111" t="s">
        <v>83</v>
      </c>
      <c r="H55" s="5" t="s">
        <v>43</v>
      </c>
      <c r="I55" s="111" t="s">
        <v>44</v>
      </c>
      <c r="J55" s="111" t="s">
        <v>69</v>
      </c>
      <c r="K55" s="111" t="s">
        <v>391</v>
      </c>
      <c r="L55" s="111" t="s">
        <v>392</v>
      </c>
      <c r="M55" s="111"/>
      <c r="N55" s="111"/>
      <c r="O55" s="104" t="s">
        <v>59</v>
      </c>
      <c r="P55" s="104" t="s">
        <v>50</v>
      </c>
      <c r="Q55" s="114">
        <v>0.9</v>
      </c>
      <c r="R55" s="111"/>
      <c r="S55" s="111"/>
      <c r="T55" s="111"/>
      <c r="U55" s="111"/>
      <c r="V55" s="111"/>
      <c r="W55" s="111"/>
      <c r="X55" s="105"/>
      <c r="Y55" s="105"/>
      <c r="Z55" s="105"/>
      <c r="AA55" s="105"/>
      <c r="AB55" s="105"/>
      <c r="AC55" s="105"/>
      <c r="AD55" s="105"/>
      <c r="AE55" s="105"/>
      <c r="AF55" s="105"/>
      <c r="AG55" s="105"/>
      <c r="AH55" s="105"/>
      <c r="AI55" s="105"/>
      <c r="AJ55" s="105"/>
      <c r="AK55" s="105"/>
      <c r="AL55" s="105"/>
      <c r="AM55" s="105"/>
      <c r="AN55" s="105"/>
      <c r="AO55" s="105"/>
      <c r="AP55" s="116"/>
      <c r="AQ55" s="116"/>
      <c r="AR55" s="117"/>
      <c r="AS55" s="118"/>
      <c r="AT55" s="118"/>
      <c r="AU55" s="118"/>
      <c r="AV55" s="118"/>
      <c r="AW55" s="119"/>
      <c r="AX55" s="120"/>
    </row>
    <row r="56" spans="1:54" s="113" customFormat="1" ht="98.25" hidden="1" customHeight="1" x14ac:dyDescent="0.25">
      <c r="A56" s="113" t="s">
        <v>135</v>
      </c>
      <c r="B56" s="113" t="s">
        <v>382</v>
      </c>
      <c r="D56" s="111" t="s">
        <v>393</v>
      </c>
      <c r="E56" s="111" t="s">
        <v>394</v>
      </c>
      <c r="F56" s="111" t="s">
        <v>385</v>
      </c>
      <c r="G56" s="111" t="s">
        <v>83</v>
      </c>
      <c r="H56" s="5" t="s">
        <v>43</v>
      </c>
      <c r="I56" s="111" t="s">
        <v>44</v>
      </c>
      <c r="J56" s="111" t="s">
        <v>69</v>
      </c>
      <c r="K56" s="111" t="s">
        <v>391</v>
      </c>
      <c r="L56" s="111" t="s">
        <v>392</v>
      </c>
      <c r="M56" s="111"/>
      <c r="N56" s="111"/>
      <c r="O56" s="104" t="s">
        <v>59</v>
      </c>
      <c r="P56" s="104" t="s">
        <v>50</v>
      </c>
      <c r="Q56" s="114">
        <v>0.9</v>
      </c>
      <c r="R56" s="111"/>
      <c r="S56" s="111"/>
      <c r="T56" s="111"/>
      <c r="U56" s="111"/>
      <c r="V56" s="111"/>
      <c r="W56" s="111"/>
      <c r="X56" s="105"/>
      <c r="Y56" s="105"/>
      <c r="Z56" s="105"/>
      <c r="AA56" s="105"/>
      <c r="AB56" s="105"/>
      <c r="AC56" s="105"/>
      <c r="AD56" s="105"/>
      <c r="AE56" s="105"/>
      <c r="AF56" s="105"/>
      <c r="AG56" s="105"/>
      <c r="AH56" s="105"/>
      <c r="AI56" s="105"/>
      <c r="AJ56" s="105"/>
      <c r="AK56" s="105"/>
      <c r="AL56" s="105"/>
      <c r="AM56" s="105"/>
      <c r="AN56" s="105"/>
      <c r="AO56" s="105"/>
      <c r="AP56" s="116"/>
      <c r="AQ56" s="116"/>
      <c r="AR56" s="117"/>
      <c r="AS56" s="118"/>
      <c r="AT56" s="118"/>
      <c r="AU56" s="118"/>
      <c r="AV56" s="118"/>
      <c r="AW56" s="119"/>
      <c r="AX56" s="120"/>
    </row>
    <row r="57" spans="1:54" s="113" customFormat="1" ht="68.25" hidden="1" customHeight="1" x14ac:dyDescent="0.25">
      <c r="A57" s="113" t="s">
        <v>135</v>
      </c>
      <c r="B57" s="113" t="s">
        <v>382</v>
      </c>
      <c r="C57" s="128"/>
      <c r="D57" s="104" t="s">
        <v>395</v>
      </c>
      <c r="E57" s="104" t="s">
        <v>396</v>
      </c>
      <c r="F57" s="104" t="s">
        <v>385</v>
      </c>
      <c r="G57" s="104" t="s">
        <v>83</v>
      </c>
      <c r="H57" s="5" t="s">
        <v>43</v>
      </c>
      <c r="I57" s="104" t="s">
        <v>44</v>
      </c>
      <c r="J57" s="104" t="s">
        <v>69</v>
      </c>
      <c r="K57" s="104" t="s">
        <v>391</v>
      </c>
      <c r="L57" s="104" t="s">
        <v>392</v>
      </c>
      <c r="M57" s="104"/>
      <c r="N57" s="104"/>
      <c r="O57" s="104" t="s">
        <v>59</v>
      </c>
      <c r="P57" s="104" t="s">
        <v>50</v>
      </c>
      <c r="Q57" s="114">
        <v>0.95</v>
      </c>
      <c r="R57" s="104"/>
      <c r="S57" s="104"/>
      <c r="T57" s="104"/>
      <c r="U57" s="104"/>
      <c r="V57" s="104"/>
      <c r="W57" s="104"/>
      <c r="X57" s="105"/>
      <c r="Y57" s="105"/>
      <c r="Z57" s="105"/>
      <c r="AA57" s="105"/>
      <c r="AB57" s="106"/>
      <c r="AC57" s="106"/>
      <c r="AD57" s="105"/>
      <c r="AE57" s="105"/>
      <c r="AF57" s="105"/>
      <c r="AG57" s="105"/>
      <c r="AH57" s="106"/>
      <c r="AI57" s="106"/>
      <c r="AJ57" s="105"/>
      <c r="AK57" s="105"/>
      <c r="AL57" s="105"/>
      <c r="AM57" s="105"/>
      <c r="AN57" s="105"/>
      <c r="AO57" s="105"/>
      <c r="AP57" s="116"/>
      <c r="AQ57" s="116"/>
      <c r="AR57" s="117"/>
      <c r="AS57" s="118"/>
      <c r="AT57" s="118"/>
      <c r="AU57" s="118"/>
      <c r="AV57" s="118"/>
      <c r="AW57" s="119"/>
      <c r="AX57" s="120"/>
    </row>
    <row r="58" spans="1:54" s="113" customFormat="1" ht="68.25" hidden="1" customHeight="1" x14ac:dyDescent="0.25">
      <c r="A58" s="113" t="s">
        <v>135</v>
      </c>
      <c r="B58" s="113" t="s">
        <v>382</v>
      </c>
      <c r="D58" s="111" t="s">
        <v>397</v>
      </c>
      <c r="E58" s="111" t="s">
        <v>398</v>
      </c>
      <c r="F58" s="111" t="s">
        <v>385</v>
      </c>
      <c r="G58" s="111" t="s">
        <v>83</v>
      </c>
      <c r="H58" s="5" t="s">
        <v>43</v>
      </c>
      <c r="I58" s="111" t="s">
        <v>44</v>
      </c>
      <c r="J58" s="111" t="s">
        <v>69</v>
      </c>
      <c r="K58" s="111" t="s">
        <v>391</v>
      </c>
      <c r="L58" s="111" t="s">
        <v>392</v>
      </c>
      <c r="M58" s="111"/>
      <c r="N58" s="111"/>
      <c r="O58" s="104" t="s">
        <v>59</v>
      </c>
      <c r="P58" s="104" t="s">
        <v>50</v>
      </c>
      <c r="Q58" s="114">
        <v>0.9</v>
      </c>
      <c r="R58" s="111"/>
      <c r="S58" s="111"/>
      <c r="T58" s="111"/>
      <c r="U58" s="111"/>
      <c r="V58" s="111"/>
      <c r="W58" s="111"/>
      <c r="X58" s="105"/>
      <c r="Y58" s="105"/>
      <c r="Z58" s="105"/>
      <c r="AA58" s="105"/>
      <c r="AB58" s="104"/>
      <c r="AC58" s="104"/>
      <c r="AD58" s="106"/>
      <c r="AE58" s="106"/>
      <c r="AF58" s="106"/>
      <c r="AG58" s="106"/>
      <c r="AH58" s="106"/>
      <c r="AI58" s="106"/>
      <c r="AJ58" s="105"/>
      <c r="AK58" s="105"/>
      <c r="AL58" s="105"/>
      <c r="AM58" s="105"/>
      <c r="AN58" s="105"/>
      <c r="AO58" s="105"/>
      <c r="AP58" s="116"/>
      <c r="AQ58" s="116"/>
      <c r="AR58" s="117"/>
      <c r="AS58" s="118"/>
      <c r="AT58" s="118"/>
      <c r="AU58" s="118"/>
      <c r="AV58" s="118"/>
      <c r="AW58" s="119"/>
      <c r="AX58" s="120"/>
    </row>
    <row r="59" spans="1:54" s="113" customFormat="1" ht="68.25" hidden="1" customHeight="1" x14ac:dyDescent="0.25">
      <c r="A59" s="113" t="s">
        <v>135</v>
      </c>
      <c r="B59" s="113" t="s">
        <v>382</v>
      </c>
      <c r="D59" s="111" t="s">
        <v>399</v>
      </c>
      <c r="E59" s="111" t="s">
        <v>400</v>
      </c>
      <c r="F59" s="111" t="s">
        <v>385</v>
      </c>
      <c r="G59" s="111" t="s">
        <v>83</v>
      </c>
      <c r="H59" s="5" t="s">
        <v>43</v>
      </c>
      <c r="I59" s="111" t="s">
        <v>44</v>
      </c>
      <c r="J59" s="111" t="s">
        <v>102</v>
      </c>
      <c r="K59" s="111" t="s">
        <v>401</v>
      </c>
      <c r="L59" s="111" t="s">
        <v>402</v>
      </c>
      <c r="M59" s="111"/>
      <c r="N59" s="111"/>
      <c r="O59" s="104" t="s">
        <v>202</v>
      </c>
      <c r="P59" s="104" t="s">
        <v>50</v>
      </c>
      <c r="Q59" s="114">
        <v>0.3</v>
      </c>
      <c r="R59" s="111"/>
      <c r="S59" s="111"/>
      <c r="T59" s="111"/>
      <c r="U59" s="111"/>
      <c r="V59" s="111"/>
      <c r="W59" s="111"/>
      <c r="X59" s="105"/>
      <c r="Y59" s="105"/>
      <c r="Z59" s="105"/>
      <c r="AA59" s="105"/>
      <c r="AB59" s="105"/>
      <c r="AC59" s="105"/>
      <c r="AD59" s="105"/>
      <c r="AE59" s="105"/>
      <c r="AF59" s="105"/>
      <c r="AG59" s="105"/>
      <c r="AH59" s="105"/>
      <c r="AI59" s="105"/>
      <c r="AJ59" s="105"/>
      <c r="AK59" s="105"/>
      <c r="AL59" s="105"/>
      <c r="AM59" s="105"/>
      <c r="AN59" s="105"/>
      <c r="AO59" s="105"/>
      <c r="AP59" s="116"/>
      <c r="AQ59" s="116"/>
      <c r="AR59" s="117"/>
      <c r="AS59" s="117"/>
      <c r="AT59" s="117"/>
      <c r="AU59" s="117"/>
      <c r="AV59" s="117"/>
      <c r="AW59" s="117"/>
      <c r="AX59" s="120"/>
    </row>
    <row r="60" spans="1:54" s="113" customFormat="1" ht="68.25" hidden="1" customHeight="1" x14ac:dyDescent="0.25">
      <c r="A60" s="113" t="s">
        <v>135</v>
      </c>
      <c r="B60" s="113" t="s">
        <v>382</v>
      </c>
      <c r="D60" s="111" t="s">
        <v>403</v>
      </c>
      <c r="E60" s="111" t="s">
        <v>404</v>
      </c>
      <c r="F60" s="111" t="s">
        <v>385</v>
      </c>
      <c r="G60" s="111" t="s">
        <v>42</v>
      </c>
      <c r="H60" s="1" t="s">
        <v>89</v>
      </c>
      <c r="I60" s="111" t="s">
        <v>258</v>
      </c>
      <c r="J60" s="111" t="s">
        <v>45</v>
      </c>
      <c r="K60" s="111" t="s">
        <v>405</v>
      </c>
      <c r="L60" s="111" t="s">
        <v>406</v>
      </c>
      <c r="M60" s="111"/>
      <c r="N60" s="111"/>
      <c r="O60" s="104" t="s">
        <v>59</v>
      </c>
      <c r="P60" s="104" t="s">
        <v>50</v>
      </c>
      <c r="Q60" s="114" t="s">
        <v>407</v>
      </c>
      <c r="R60" s="111"/>
      <c r="S60" s="111"/>
      <c r="T60" s="111"/>
      <c r="U60" s="111"/>
      <c r="V60" s="111"/>
      <c r="W60" s="111"/>
      <c r="X60" s="104"/>
      <c r="Y60" s="104"/>
      <c r="Z60" s="104"/>
      <c r="AA60" s="104"/>
      <c r="AB60" s="104"/>
      <c r="AC60" s="104"/>
      <c r="AD60" s="104"/>
      <c r="AE60" s="104"/>
      <c r="AF60" s="104"/>
      <c r="AG60" s="104"/>
      <c r="AH60" s="104"/>
      <c r="AI60" s="104"/>
      <c r="AJ60" s="104"/>
      <c r="AK60" s="104"/>
      <c r="AL60" s="105"/>
      <c r="AM60" s="105"/>
      <c r="AN60" s="105"/>
      <c r="AO60" s="105"/>
      <c r="AP60" s="116"/>
      <c r="AQ60" s="116"/>
      <c r="AR60" s="118"/>
      <c r="AS60" s="118"/>
      <c r="AT60" s="118"/>
      <c r="AU60" s="118"/>
      <c r="AV60" s="118"/>
      <c r="AW60" s="118"/>
      <c r="AX60" s="120" t="s">
        <v>408</v>
      </c>
    </row>
    <row r="61" spans="1:54" s="113" customFormat="1" ht="68.25" hidden="1" customHeight="1" x14ac:dyDescent="0.25">
      <c r="A61" s="113" t="s">
        <v>135</v>
      </c>
      <c r="B61" s="113" t="s">
        <v>382</v>
      </c>
      <c r="D61" s="111" t="s">
        <v>409</v>
      </c>
      <c r="E61" s="111" t="s">
        <v>410</v>
      </c>
      <c r="F61" s="111" t="s">
        <v>385</v>
      </c>
      <c r="G61" s="111" t="s">
        <v>42</v>
      </c>
      <c r="H61" s="1" t="s">
        <v>89</v>
      </c>
      <c r="I61" s="111" t="s">
        <v>44</v>
      </c>
      <c r="J61" s="111" t="s">
        <v>102</v>
      </c>
      <c r="K61" s="111" t="s">
        <v>411</v>
      </c>
      <c r="L61" s="111" t="s">
        <v>412</v>
      </c>
      <c r="M61" s="111"/>
      <c r="N61" s="111"/>
      <c r="O61" s="104" t="s">
        <v>59</v>
      </c>
      <c r="P61" s="104" t="s">
        <v>50</v>
      </c>
      <c r="Q61" s="114">
        <v>0.03</v>
      </c>
      <c r="R61" s="111"/>
      <c r="S61" s="111"/>
      <c r="T61" s="111"/>
      <c r="U61" s="111"/>
      <c r="V61" s="111"/>
      <c r="W61" s="111"/>
      <c r="X61" s="105"/>
      <c r="Y61" s="105"/>
      <c r="Z61" s="105"/>
      <c r="AA61" s="105"/>
      <c r="AB61" s="105"/>
      <c r="AC61" s="105"/>
      <c r="AD61" s="105"/>
      <c r="AE61" s="105"/>
      <c r="AF61" s="105"/>
      <c r="AG61" s="105"/>
      <c r="AH61" s="123"/>
      <c r="AI61" s="123"/>
      <c r="AJ61" s="105"/>
      <c r="AK61" s="105"/>
      <c r="AL61" s="105"/>
      <c r="AM61" s="105"/>
      <c r="AN61" s="105"/>
      <c r="AO61" s="105"/>
      <c r="AP61" s="116"/>
      <c r="AQ61" s="116"/>
      <c r="AR61" s="124"/>
      <c r="AS61" s="118"/>
      <c r="AT61" s="118"/>
      <c r="AU61" s="118"/>
      <c r="AV61" s="118"/>
      <c r="AW61" s="119"/>
      <c r="AX61" s="120"/>
    </row>
    <row r="62" spans="1:54" s="113" customFormat="1" ht="93" hidden="1" customHeight="1" x14ac:dyDescent="0.25">
      <c r="A62" s="113" t="s">
        <v>135</v>
      </c>
      <c r="B62" s="113" t="s">
        <v>382</v>
      </c>
      <c r="D62" s="111" t="s">
        <v>413</v>
      </c>
      <c r="E62" s="111" t="s">
        <v>414</v>
      </c>
      <c r="F62" s="111" t="s">
        <v>385</v>
      </c>
      <c r="G62" s="111" t="s">
        <v>42</v>
      </c>
      <c r="H62" s="1" t="s">
        <v>89</v>
      </c>
      <c r="I62" s="111" t="s">
        <v>44</v>
      </c>
      <c r="J62" s="111" t="s">
        <v>45</v>
      </c>
      <c r="K62" s="111" t="s">
        <v>415</v>
      </c>
      <c r="L62" s="111" t="s">
        <v>416</v>
      </c>
      <c r="M62" s="111" t="s">
        <v>417</v>
      </c>
      <c r="N62" s="111"/>
      <c r="O62" s="104" t="s">
        <v>418</v>
      </c>
      <c r="P62" s="104" t="s">
        <v>50</v>
      </c>
      <c r="Q62" s="114">
        <v>0.04</v>
      </c>
      <c r="R62" s="121"/>
      <c r="S62" s="121"/>
      <c r="T62" s="121"/>
      <c r="U62" s="122"/>
      <c r="V62" s="121"/>
      <c r="W62" s="121"/>
      <c r="X62" s="104"/>
      <c r="Y62" s="104"/>
      <c r="Z62" s="104"/>
      <c r="AA62" s="111"/>
      <c r="AB62" s="104"/>
      <c r="AC62" s="111"/>
      <c r="AD62" s="104"/>
      <c r="AE62" s="104"/>
      <c r="AF62" s="104"/>
      <c r="AG62" s="104"/>
      <c r="AH62" s="104"/>
      <c r="AI62" s="104"/>
      <c r="AJ62" s="104"/>
      <c r="AK62" s="104"/>
      <c r="AL62" s="105"/>
      <c r="AM62" s="105"/>
      <c r="AN62" s="105"/>
      <c r="AO62" s="105"/>
      <c r="AP62" s="116"/>
      <c r="AQ62" s="116"/>
      <c r="AR62" s="118"/>
      <c r="AS62" s="118"/>
      <c r="AT62" s="118"/>
      <c r="AU62" s="118"/>
      <c r="AV62" s="118"/>
      <c r="AW62" s="118"/>
      <c r="AX62" s="120" t="s">
        <v>408</v>
      </c>
    </row>
    <row r="63" spans="1:54" s="113" customFormat="1" ht="104.25" hidden="1" customHeight="1" x14ac:dyDescent="0.25">
      <c r="A63" s="113" t="s">
        <v>135</v>
      </c>
      <c r="B63" s="113" t="s">
        <v>382</v>
      </c>
      <c r="D63" s="111" t="s">
        <v>419</v>
      </c>
      <c r="E63" s="111" t="s">
        <v>420</v>
      </c>
      <c r="F63" s="111" t="s">
        <v>385</v>
      </c>
      <c r="G63" s="111" t="s">
        <v>42</v>
      </c>
      <c r="H63" s="5" t="s">
        <v>43</v>
      </c>
      <c r="I63" s="111" t="s">
        <v>44</v>
      </c>
      <c r="J63" s="111" t="s">
        <v>69</v>
      </c>
      <c r="K63" s="111" t="s">
        <v>421</v>
      </c>
      <c r="L63" s="111" t="s">
        <v>422</v>
      </c>
      <c r="M63" s="111"/>
      <c r="N63" s="111"/>
      <c r="O63" s="104" t="s">
        <v>59</v>
      </c>
      <c r="P63" s="104" t="s">
        <v>50</v>
      </c>
      <c r="Q63" s="114">
        <v>0.93</v>
      </c>
      <c r="R63" s="111"/>
      <c r="S63" s="111"/>
      <c r="T63" s="111"/>
      <c r="U63" s="111"/>
      <c r="V63" s="111"/>
      <c r="W63" s="111"/>
      <c r="X63" s="105"/>
      <c r="Y63" s="105"/>
      <c r="Z63" s="105"/>
      <c r="AA63" s="105"/>
      <c r="AB63" s="104"/>
      <c r="AC63" s="104"/>
      <c r="AD63" s="105"/>
      <c r="AE63" s="105"/>
      <c r="AF63" s="105"/>
      <c r="AG63" s="105"/>
      <c r="AH63" s="104"/>
      <c r="AI63" s="104"/>
      <c r="AJ63" s="105"/>
      <c r="AK63" s="105"/>
      <c r="AL63" s="105"/>
      <c r="AM63" s="105"/>
      <c r="AN63" s="105"/>
      <c r="AO63" s="105"/>
      <c r="AP63" s="116"/>
      <c r="AQ63" s="116"/>
      <c r="AR63" s="117"/>
      <c r="AS63" s="118"/>
      <c r="AT63" s="118"/>
      <c r="AU63" s="118"/>
      <c r="AV63" s="125"/>
      <c r="AW63" s="119"/>
      <c r="AX63" s="120"/>
    </row>
    <row r="64" spans="1:54" s="113" customFormat="1" ht="77.25" hidden="1" customHeight="1" x14ac:dyDescent="0.25">
      <c r="A64" s="113" t="s">
        <v>135</v>
      </c>
      <c r="B64" s="113" t="s">
        <v>382</v>
      </c>
      <c r="D64" s="111" t="s">
        <v>423</v>
      </c>
      <c r="E64" s="111" t="s">
        <v>424</v>
      </c>
      <c r="F64" s="111" t="s">
        <v>385</v>
      </c>
      <c r="G64" s="111" t="s">
        <v>42</v>
      </c>
      <c r="H64" s="5" t="s">
        <v>43</v>
      </c>
      <c r="I64" s="111" t="s">
        <v>44</v>
      </c>
      <c r="J64" s="111" t="s">
        <v>69</v>
      </c>
      <c r="K64" s="111" t="s">
        <v>421</v>
      </c>
      <c r="L64" s="111" t="s">
        <v>422</v>
      </c>
      <c r="M64" s="111"/>
      <c r="N64" s="111"/>
      <c r="O64" s="104" t="s">
        <v>59</v>
      </c>
      <c r="P64" s="104" t="s">
        <v>50</v>
      </c>
      <c r="Q64" s="114">
        <v>0.93</v>
      </c>
      <c r="R64" s="111"/>
      <c r="S64" s="111"/>
      <c r="T64" s="111"/>
      <c r="U64" s="111"/>
      <c r="V64" s="111"/>
      <c r="W64" s="111"/>
      <c r="X64" s="105"/>
      <c r="Y64" s="105"/>
      <c r="Z64" s="105"/>
      <c r="AA64" s="105"/>
      <c r="AB64" s="104"/>
      <c r="AC64" s="104"/>
      <c r="AD64" s="105"/>
      <c r="AE64" s="105"/>
      <c r="AF64" s="105"/>
      <c r="AG64" s="105"/>
      <c r="AH64" s="105"/>
      <c r="AI64" s="105"/>
      <c r="AJ64" s="105"/>
      <c r="AK64" s="105"/>
      <c r="AL64" s="105"/>
      <c r="AM64" s="105"/>
      <c r="AN64" s="105"/>
      <c r="AO64" s="105"/>
      <c r="AP64" s="116"/>
      <c r="AQ64" s="116"/>
      <c r="AR64" s="117"/>
      <c r="AS64" s="118"/>
      <c r="AT64" s="118"/>
      <c r="AU64" s="118"/>
      <c r="AV64" s="118"/>
      <c r="AW64" s="119"/>
      <c r="AX64" s="120"/>
    </row>
    <row r="65" spans="1:54" s="113" customFormat="1" ht="77.25" hidden="1" customHeight="1" x14ac:dyDescent="0.25">
      <c r="A65" s="113" t="s">
        <v>135</v>
      </c>
      <c r="B65" s="113" t="s">
        <v>382</v>
      </c>
      <c r="D65" s="111" t="s">
        <v>425</v>
      </c>
      <c r="E65" s="111" t="s">
        <v>426</v>
      </c>
      <c r="F65" s="111" t="s">
        <v>385</v>
      </c>
      <c r="G65" s="111" t="s">
        <v>42</v>
      </c>
      <c r="H65" s="5" t="s">
        <v>43</v>
      </c>
      <c r="I65" s="111" t="s">
        <v>44</v>
      </c>
      <c r="J65" s="111" t="s">
        <v>69</v>
      </c>
      <c r="K65" s="111" t="s">
        <v>421</v>
      </c>
      <c r="L65" s="111" t="s">
        <v>422</v>
      </c>
      <c r="M65" s="111"/>
      <c r="N65" s="111"/>
      <c r="O65" s="104" t="s">
        <v>59</v>
      </c>
      <c r="P65" s="104" t="s">
        <v>50</v>
      </c>
      <c r="Q65" s="114">
        <v>0.95</v>
      </c>
      <c r="R65" s="111"/>
      <c r="S65" s="111"/>
      <c r="T65" s="111"/>
      <c r="U65" s="111"/>
      <c r="V65" s="111"/>
      <c r="W65" s="111"/>
      <c r="X65" s="105"/>
      <c r="Y65" s="105"/>
      <c r="Z65" s="105"/>
      <c r="AA65" s="105"/>
      <c r="AB65" s="104"/>
      <c r="AC65" s="104"/>
      <c r="AD65" s="105"/>
      <c r="AE65" s="105"/>
      <c r="AF65" s="105"/>
      <c r="AG65" s="105"/>
      <c r="AH65" s="105"/>
      <c r="AI65" s="105"/>
      <c r="AJ65" s="105"/>
      <c r="AK65" s="105"/>
      <c r="AL65" s="105"/>
      <c r="AM65" s="105"/>
      <c r="AN65" s="105"/>
      <c r="AO65" s="105"/>
      <c r="AP65" s="116"/>
      <c r="AQ65" s="116"/>
      <c r="AR65" s="117"/>
      <c r="AS65" s="118"/>
      <c r="AT65" s="118"/>
      <c r="AU65" s="118"/>
      <c r="AV65" s="117"/>
      <c r="AW65" s="119"/>
      <c r="AX65" s="120"/>
    </row>
    <row r="66" spans="1:54" s="113" customFormat="1" ht="77.25" hidden="1" customHeight="1" x14ac:dyDescent="0.25">
      <c r="A66" s="113" t="s">
        <v>135</v>
      </c>
      <c r="B66" s="113" t="s">
        <v>382</v>
      </c>
      <c r="D66" s="111" t="s">
        <v>427</v>
      </c>
      <c r="E66" s="111" t="s">
        <v>428</v>
      </c>
      <c r="F66" s="111" t="s">
        <v>385</v>
      </c>
      <c r="G66" s="111" t="s">
        <v>42</v>
      </c>
      <c r="H66" s="5" t="s">
        <v>43</v>
      </c>
      <c r="I66" s="111" t="s">
        <v>44</v>
      </c>
      <c r="J66" s="111" t="s">
        <v>69</v>
      </c>
      <c r="K66" s="111" t="s">
        <v>421</v>
      </c>
      <c r="L66" s="111" t="s">
        <v>422</v>
      </c>
      <c r="M66" s="111"/>
      <c r="N66" s="111"/>
      <c r="O66" s="104" t="s">
        <v>59</v>
      </c>
      <c r="P66" s="104" t="s">
        <v>50</v>
      </c>
      <c r="Q66" s="114">
        <v>0.95</v>
      </c>
      <c r="R66" s="111"/>
      <c r="S66" s="111"/>
      <c r="T66" s="111"/>
      <c r="U66" s="111"/>
      <c r="V66" s="111"/>
      <c r="W66" s="111"/>
      <c r="X66" s="105"/>
      <c r="Y66" s="105"/>
      <c r="Z66" s="105"/>
      <c r="AA66" s="105"/>
      <c r="AB66" s="104"/>
      <c r="AC66" s="104"/>
      <c r="AD66" s="105"/>
      <c r="AE66" s="105"/>
      <c r="AF66" s="105"/>
      <c r="AG66" s="105"/>
      <c r="AH66" s="105"/>
      <c r="AI66" s="105"/>
      <c r="AJ66" s="105"/>
      <c r="AK66" s="105"/>
      <c r="AL66" s="105"/>
      <c r="AM66" s="105"/>
      <c r="AN66" s="105"/>
      <c r="AO66" s="105"/>
      <c r="AP66" s="116"/>
      <c r="AQ66" s="116"/>
      <c r="AR66" s="117"/>
      <c r="AS66" s="118"/>
      <c r="AT66" s="118"/>
      <c r="AU66" s="118"/>
      <c r="AV66" s="117"/>
      <c r="AW66" s="119"/>
      <c r="AX66" s="120"/>
    </row>
    <row r="67" spans="1:54" s="113" customFormat="1" ht="77.25" hidden="1" customHeight="1" x14ac:dyDescent="0.25">
      <c r="A67" s="113" t="s">
        <v>135</v>
      </c>
      <c r="B67" s="113" t="s">
        <v>382</v>
      </c>
      <c r="D67" s="111" t="s">
        <v>429</v>
      </c>
      <c r="E67" s="111" t="s">
        <v>430</v>
      </c>
      <c r="F67" s="111" t="s">
        <v>385</v>
      </c>
      <c r="G67" s="111" t="s">
        <v>42</v>
      </c>
      <c r="H67" s="5" t="s">
        <v>43</v>
      </c>
      <c r="I67" s="111" t="s">
        <v>44</v>
      </c>
      <c r="J67" s="111" t="s">
        <v>69</v>
      </c>
      <c r="K67" s="111" t="s">
        <v>421</v>
      </c>
      <c r="L67" s="111" t="s">
        <v>422</v>
      </c>
      <c r="M67" s="111"/>
      <c r="N67" s="111"/>
      <c r="O67" s="104" t="s">
        <v>59</v>
      </c>
      <c r="P67" s="104" t="s">
        <v>50</v>
      </c>
      <c r="Q67" s="114">
        <v>0.95</v>
      </c>
      <c r="R67" s="111"/>
      <c r="S67" s="111"/>
      <c r="T67" s="111"/>
      <c r="U67" s="111"/>
      <c r="V67" s="111"/>
      <c r="W67" s="111"/>
      <c r="X67" s="105"/>
      <c r="Y67" s="105"/>
      <c r="Z67" s="105"/>
      <c r="AA67" s="105"/>
      <c r="AB67" s="104"/>
      <c r="AC67" s="104"/>
      <c r="AD67" s="105"/>
      <c r="AE67" s="105"/>
      <c r="AF67" s="105"/>
      <c r="AG67" s="105"/>
      <c r="AH67" s="126"/>
      <c r="AI67" s="126"/>
      <c r="AJ67" s="105"/>
      <c r="AK67" s="105"/>
      <c r="AL67" s="105"/>
      <c r="AM67" s="105"/>
      <c r="AN67" s="105"/>
      <c r="AO67" s="105"/>
      <c r="AP67" s="116"/>
      <c r="AQ67" s="116"/>
      <c r="AR67" s="117"/>
      <c r="AS67" s="118"/>
      <c r="AT67" s="118"/>
      <c r="AU67" s="118"/>
      <c r="AV67" s="117"/>
      <c r="AW67" s="119"/>
      <c r="AX67" s="127"/>
    </row>
    <row r="68" spans="1:54" s="113" customFormat="1" ht="30" hidden="1" customHeight="1" x14ac:dyDescent="0.25">
      <c r="A68" s="113" t="s">
        <v>135</v>
      </c>
      <c r="B68" s="113" t="s">
        <v>382</v>
      </c>
      <c r="D68" s="126" t="s">
        <v>431</v>
      </c>
      <c r="E68" s="126" t="s">
        <v>432</v>
      </c>
      <c r="F68" s="126" t="s">
        <v>385</v>
      </c>
      <c r="G68" s="126" t="s">
        <v>42</v>
      </c>
      <c r="H68" s="187" t="s">
        <v>43</v>
      </c>
      <c r="I68" s="126" t="s">
        <v>44</v>
      </c>
      <c r="J68" s="126" t="s">
        <v>69</v>
      </c>
      <c r="K68" s="126" t="s">
        <v>421</v>
      </c>
      <c r="L68" s="126" t="s">
        <v>422</v>
      </c>
      <c r="M68" s="126"/>
      <c r="N68" s="126"/>
      <c r="O68" s="227" t="s">
        <v>59</v>
      </c>
      <c r="P68" s="227" t="s">
        <v>50</v>
      </c>
      <c r="Q68" s="228">
        <v>0.95</v>
      </c>
      <c r="R68" s="111"/>
      <c r="S68" s="111"/>
      <c r="T68" s="111"/>
      <c r="U68" s="111"/>
      <c r="V68" s="111"/>
      <c r="W68" s="111"/>
      <c r="X68" s="105"/>
      <c r="Y68" s="105"/>
      <c r="Z68" s="105"/>
      <c r="AA68" s="105"/>
      <c r="AB68" s="104"/>
      <c r="AC68" s="104"/>
      <c r="AD68" s="105"/>
      <c r="AE68" s="105"/>
      <c r="AF68" s="105"/>
      <c r="AG68" s="105"/>
      <c r="AH68" s="111"/>
      <c r="AI68" s="111"/>
      <c r="AJ68" s="229"/>
      <c r="AK68" s="229"/>
      <c r="AL68" s="229"/>
      <c r="AM68" s="229"/>
      <c r="AN68" s="229"/>
      <c r="AO68" s="229"/>
      <c r="AP68" s="230"/>
      <c r="AQ68" s="230"/>
      <c r="AR68" s="231"/>
      <c r="AS68" s="232"/>
      <c r="AT68" s="232"/>
      <c r="AU68" s="232"/>
      <c r="AV68" s="231"/>
      <c r="AW68" s="233"/>
      <c r="AX68" s="197"/>
    </row>
    <row r="69" spans="1:54" s="63" customFormat="1" ht="57.75" customHeight="1" x14ac:dyDescent="0.25">
      <c r="A69" s="364" t="s">
        <v>205</v>
      </c>
      <c r="B69" s="364" t="s">
        <v>341</v>
      </c>
      <c r="C69" s="364" t="s">
        <v>433</v>
      </c>
      <c r="D69" s="364" t="s">
        <v>434</v>
      </c>
      <c r="E69" s="364" t="s">
        <v>435</v>
      </c>
      <c r="F69" s="364" t="s">
        <v>280</v>
      </c>
      <c r="G69" s="364" t="s">
        <v>42</v>
      </c>
      <c r="H69" s="365" t="s">
        <v>43</v>
      </c>
      <c r="I69" s="364" t="s">
        <v>44</v>
      </c>
      <c r="J69" s="364" t="s">
        <v>295</v>
      </c>
      <c r="K69" s="364" t="s">
        <v>436</v>
      </c>
      <c r="L69" s="364" t="s">
        <v>376</v>
      </c>
      <c r="M69" s="364"/>
      <c r="N69" s="364"/>
      <c r="O69" s="365" t="s">
        <v>59</v>
      </c>
      <c r="P69" s="365" t="s">
        <v>72</v>
      </c>
      <c r="Q69" s="374">
        <v>1</v>
      </c>
      <c r="R69" s="169"/>
      <c r="S69" s="1"/>
      <c r="T69" s="1"/>
      <c r="U69" s="1"/>
      <c r="V69" s="1">
        <v>2</v>
      </c>
      <c r="W69" s="1">
        <v>2</v>
      </c>
      <c r="X69" s="2"/>
      <c r="Y69" s="2"/>
      <c r="Z69" s="2"/>
      <c r="AA69" s="2"/>
      <c r="AB69" s="2">
        <v>2</v>
      </c>
      <c r="AC69" s="2">
        <v>2</v>
      </c>
      <c r="AD69" s="2"/>
      <c r="AE69" s="2"/>
      <c r="AF69" s="2"/>
      <c r="AG69" s="2"/>
      <c r="AH69" s="2">
        <v>2</v>
      </c>
      <c r="AI69" s="218">
        <v>2</v>
      </c>
      <c r="AJ69" s="373"/>
      <c r="AK69" s="373"/>
      <c r="AL69" s="373"/>
      <c r="AM69" s="373"/>
      <c r="AN69" s="365">
        <v>2</v>
      </c>
      <c r="AO69" s="365">
        <v>2</v>
      </c>
      <c r="AP69" s="366"/>
      <c r="AQ69" s="366"/>
      <c r="AR69" s="50"/>
      <c r="AS69" s="50">
        <f>V69/W69</f>
        <v>1</v>
      </c>
      <c r="AT69" s="403">
        <f>AB69/AC69</f>
        <v>1</v>
      </c>
      <c r="AU69" s="210">
        <f>AH69/AI69</f>
        <v>1</v>
      </c>
      <c r="AV69" s="209">
        <f>AN69/AO69</f>
        <v>1</v>
      </c>
      <c r="AW69" s="279" t="s">
        <v>73</v>
      </c>
      <c r="AX69" s="280" t="s">
        <v>283</v>
      </c>
    </row>
    <row r="70" spans="1:54" s="63" customFormat="1" ht="69" customHeight="1" x14ac:dyDescent="0.25">
      <c r="A70" s="364" t="s">
        <v>135</v>
      </c>
      <c r="B70" s="364" t="s">
        <v>382</v>
      </c>
      <c r="C70" s="364" t="s">
        <v>437</v>
      </c>
      <c r="D70" s="364" t="s">
        <v>438</v>
      </c>
      <c r="E70" s="364" t="s">
        <v>439</v>
      </c>
      <c r="F70" s="364" t="s">
        <v>385</v>
      </c>
      <c r="G70" s="364" t="s">
        <v>109</v>
      </c>
      <c r="H70" s="365"/>
      <c r="I70" s="364" t="s">
        <v>258</v>
      </c>
      <c r="J70" s="364" t="s">
        <v>69</v>
      </c>
      <c r="K70" s="364" t="s">
        <v>440</v>
      </c>
      <c r="L70" s="364"/>
      <c r="M70" s="364"/>
      <c r="N70" s="364"/>
      <c r="O70" s="365" t="s">
        <v>71</v>
      </c>
      <c r="P70" s="365" t="s">
        <v>72</v>
      </c>
      <c r="Q70" s="366">
        <v>59</v>
      </c>
      <c r="R70" s="169"/>
      <c r="S70" s="1"/>
      <c r="T70" s="1"/>
      <c r="U70" s="1"/>
      <c r="V70" s="1">
        <v>49</v>
      </c>
      <c r="W70" s="1"/>
      <c r="X70" s="2"/>
      <c r="Y70" s="2"/>
      <c r="Z70" s="2"/>
      <c r="AA70" s="2"/>
      <c r="AB70" s="5">
        <f>17+18+21</f>
        <v>56</v>
      </c>
      <c r="AC70" s="5"/>
      <c r="AD70" s="2"/>
      <c r="AE70" s="2"/>
      <c r="AF70" s="2"/>
      <c r="AG70" s="2"/>
      <c r="AH70" s="1">
        <v>59</v>
      </c>
      <c r="AI70" s="220"/>
      <c r="AJ70" s="373"/>
      <c r="AK70" s="373"/>
      <c r="AL70" s="373"/>
      <c r="AM70" s="373"/>
      <c r="AN70" s="373">
        <v>59</v>
      </c>
      <c r="AO70" s="373"/>
      <c r="AP70" s="366"/>
      <c r="AQ70" s="366"/>
      <c r="AR70" s="50"/>
      <c r="AS70" s="102">
        <v>49</v>
      </c>
      <c r="AT70" s="408">
        <v>56</v>
      </c>
      <c r="AU70" s="215">
        <v>59</v>
      </c>
      <c r="AV70" s="215">
        <f>AN70</f>
        <v>59</v>
      </c>
      <c r="AW70" s="211" t="s">
        <v>73</v>
      </c>
      <c r="AX70" s="177" t="s">
        <v>441</v>
      </c>
    </row>
    <row r="71" spans="1:54" s="63" customFormat="1" ht="77.25" customHeight="1" x14ac:dyDescent="0.25">
      <c r="A71" s="364" t="s">
        <v>135</v>
      </c>
      <c r="B71" s="364" t="s">
        <v>382</v>
      </c>
      <c r="C71" s="364" t="s">
        <v>442</v>
      </c>
      <c r="D71" s="364" t="s">
        <v>443</v>
      </c>
      <c r="E71" s="364" t="s">
        <v>444</v>
      </c>
      <c r="F71" s="364" t="s">
        <v>385</v>
      </c>
      <c r="G71" s="364" t="s">
        <v>83</v>
      </c>
      <c r="H71" s="365" t="s">
        <v>43</v>
      </c>
      <c r="I71" s="364" t="s">
        <v>44</v>
      </c>
      <c r="J71" s="364" t="s">
        <v>69</v>
      </c>
      <c r="K71" s="364" t="s">
        <v>391</v>
      </c>
      <c r="L71" s="364" t="s">
        <v>392</v>
      </c>
      <c r="M71" s="364"/>
      <c r="N71" s="364"/>
      <c r="O71" s="365" t="s">
        <v>59</v>
      </c>
      <c r="P71" s="365" t="s">
        <v>72</v>
      </c>
      <c r="Q71" s="374">
        <v>0.92</v>
      </c>
      <c r="R71" s="169"/>
      <c r="S71" s="1"/>
      <c r="T71" s="1"/>
      <c r="U71" s="1"/>
      <c r="V71" s="1">
        <v>113</v>
      </c>
      <c r="W71" s="1">
        <v>114</v>
      </c>
      <c r="X71" s="2"/>
      <c r="Y71" s="2"/>
      <c r="Z71" s="2"/>
      <c r="AA71" s="2"/>
      <c r="AB71" s="1">
        <v>681</v>
      </c>
      <c r="AC71" s="1">
        <v>690</v>
      </c>
      <c r="AD71" s="2"/>
      <c r="AE71" s="2"/>
      <c r="AF71" s="2"/>
      <c r="AG71" s="2"/>
      <c r="AH71" s="1">
        <v>1087</v>
      </c>
      <c r="AI71" s="220">
        <v>1107</v>
      </c>
      <c r="AJ71" s="373"/>
      <c r="AK71" s="373"/>
      <c r="AL71" s="373"/>
      <c r="AM71" s="373"/>
      <c r="AN71" s="373">
        <v>554</v>
      </c>
      <c r="AO71" s="373">
        <v>657</v>
      </c>
      <c r="AP71" s="366"/>
      <c r="AQ71" s="366"/>
      <c r="AR71" s="50"/>
      <c r="AS71" s="89">
        <f>V71/W71</f>
        <v>0.99122807017543857</v>
      </c>
      <c r="AT71" s="403">
        <f>AB71/AC71</f>
        <v>0.9869565217391304</v>
      </c>
      <c r="AU71" s="210">
        <f>AH71/AI71</f>
        <v>0.98193315266486003</v>
      </c>
      <c r="AV71" s="210">
        <f>AN71/AO71</f>
        <v>0.84322678843226784</v>
      </c>
      <c r="AW71" s="211" t="s">
        <v>73</v>
      </c>
      <c r="AX71" s="175" t="s">
        <v>445</v>
      </c>
    </row>
    <row r="72" spans="1:54" s="113" customFormat="1" ht="77.25" hidden="1" customHeight="1" x14ac:dyDescent="0.25">
      <c r="A72" s="113" t="s">
        <v>135</v>
      </c>
      <c r="B72" s="113" t="s">
        <v>382</v>
      </c>
      <c r="D72" s="202" t="s">
        <v>446</v>
      </c>
      <c r="E72" s="202" t="s">
        <v>447</v>
      </c>
      <c r="F72" s="202" t="s">
        <v>385</v>
      </c>
      <c r="G72" s="202" t="s">
        <v>83</v>
      </c>
      <c r="H72" s="264" t="s">
        <v>43</v>
      </c>
      <c r="I72" s="202" t="s">
        <v>44</v>
      </c>
      <c r="J72" s="202" t="s">
        <v>69</v>
      </c>
      <c r="K72" s="202" t="s">
        <v>448</v>
      </c>
      <c r="L72" s="202" t="s">
        <v>449</v>
      </c>
      <c r="M72" s="202"/>
      <c r="N72" s="202"/>
      <c r="O72" s="243" t="s">
        <v>59</v>
      </c>
      <c r="P72" s="243" t="s">
        <v>50</v>
      </c>
      <c r="Q72" s="244">
        <v>0.9</v>
      </c>
      <c r="R72" s="111"/>
      <c r="S72" s="111"/>
      <c r="T72" s="111"/>
      <c r="U72" s="111"/>
      <c r="V72" s="111"/>
      <c r="W72" s="111"/>
      <c r="X72" s="105"/>
      <c r="Y72" s="105"/>
      <c r="Z72" s="105"/>
      <c r="AA72" s="105"/>
      <c r="AB72" s="111"/>
      <c r="AC72" s="111"/>
      <c r="AD72" s="105"/>
      <c r="AE72" s="105"/>
      <c r="AF72" s="105"/>
      <c r="AG72" s="105"/>
      <c r="AH72" s="105"/>
      <c r="AI72" s="105"/>
      <c r="AJ72" s="245"/>
      <c r="AK72" s="245"/>
      <c r="AL72" s="245"/>
      <c r="AM72" s="245"/>
      <c r="AN72" s="245"/>
      <c r="AO72" s="245"/>
      <c r="AP72" s="246"/>
      <c r="AQ72" s="246"/>
      <c r="AR72" s="247"/>
      <c r="AS72" s="248"/>
      <c r="AT72" s="248"/>
      <c r="AU72" s="248"/>
      <c r="AV72" s="247"/>
      <c r="AW72" s="249"/>
      <c r="AX72" s="199"/>
    </row>
    <row r="73" spans="1:54" s="63" customFormat="1" ht="77.25" customHeight="1" x14ac:dyDescent="0.25">
      <c r="A73" s="364" t="s">
        <v>135</v>
      </c>
      <c r="B73" s="364" t="s">
        <v>382</v>
      </c>
      <c r="C73" s="364" t="s">
        <v>450</v>
      </c>
      <c r="D73" s="364" t="s">
        <v>451</v>
      </c>
      <c r="E73" s="364" t="s">
        <v>452</v>
      </c>
      <c r="F73" s="364" t="s">
        <v>385</v>
      </c>
      <c r="G73" s="364" t="s">
        <v>141</v>
      </c>
      <c r="H73" s="365"/>
      <c r="I73" s="364" t="s">
        <v>258</v>
      </c>
      <c r="J73" s="364" t="s">
        <v>102</v>
      </c>
      <c r="K73" s="364" t="s">
        <v>453</v>
      </c>
      <c r="L73" s="364" t="s">
        <v>454</v>
      </c>
      <c r="M73" s="364"/>
      <c r="N73" s="364"/>
      <c r="O73" s="365" t="s">
        <v>455</v>
      </c>
      <c r="P73" s="365" t="s">
        <v>72</v>
      </c>
      <c r="Q73" s="374">
        <v>0.3</v>
      </c>
      <c r="R73" s="169"/>
      <c r="S73" s="1"/>
      <c r="T73" s="1"/>
      <c r="U73" s="1"/>
      <c r="V73" s="1"/>
      <c r="W73" s="1"/>
      <c r="X73" s="2"/>
      <c r="Y73" s="2"/>
      <c r="Z73" s="2"/>
      <c r="AA73" s="2"/>
      <c r="AB73" s="44">
        <v>0.91830000000000001</v>
      </c>
      <c r="AC73" s="44">
        <v>0.624</v>
      </c>
      <c r="AD73" s="2"/>
      <c r="AE73" s="2"/>
      <c r="AF73" s="2"/>
      <c r="AG73" s="2"/>
      <c r="AH73" s="1"/>
      <c r="AI73" s="220"/>
      <c r="AJ73" s="373"/>
      <c r="AK73" s="373"/>
      <c r="AL73" s="373"/>
      <c r="AM73" s="373"/>
      <c r="AN73" s="424">
        <v>0.83</v>
      </c>
      <c r="AO73" s="426">
        <v>0.50990000000000002</v>
      </c>
      <c r="AP73" s="366"/>
      <c r="AQ73" s="366"/>
      <c r="AR73" s="50"/>
      <c r="AS73" s="89"/>
      <c r="AT73" s="403">
        <f>AB73-AC73</f>
        <v>0.29430000000000001</v>
      </c>
      <c r="AU73" s="210"/>
      <c r="AV73" s="209">
        <f>AN73-AO73</f>
        <v>0.32009999999999994</v>
      </c>
      <c r="AW73" s="211" t="s">
        <v>73</v>
      </c>
      <c r="AX73" s="175" t="s">
        <v>456</v>
      </c>
    </row>
    <row r="74" spans="1:54" s="113" customFormat="1" ht="77.25" hidden="1" customHeight="1" x14ac:dyDescent="0.25">
      <c r="A74" s="113" t="s">
        <v>135</v>
      </c>
      <c r="B74" s="113" t="s">
        <v>358</v>
      </c>
      <c r="D74" s="202" t="s">
        <v>457</v>
      </c>
      <c r="E74" s="202" t="s">
        <v>458</v>
      </c>
      <c r="F74" s="202" t="s">
        <v>362</v>
      </c>
      <c r="G74" s="202" t="s">
        <v>42</v>
      </c>
      <c r="H74" s="264" t="s">
        <v>43</v>
      </c>
      <c r="I74" s="202" t="s">
        <v>44</v>
      </c>
      <c r="J74" s="202" t="s">
        <v>45</v>
      </c>
      <c r="K74" s="202" t="s">
        <v>459</v>
      </c>
      <c r="L74" s="202" t="s">
        <v>460</v>
      </c>
      <c r="M74" s="202"/>
      <c r="N74" s="202"/>
      <c r="O74" s="243" t="s">
        <v>59</v>
      </c>
      <c r="P74" s="243" t="s">
        <v>50</v>
      </c>
      <c r="Q74" s="244">
        <v>1</v>
      </c>
      <c r="R74" s="111">
        <v>2</v>
      </c>
      <c r="S74" s="111">
        <v>2</v>
      </c>
      <c r="T74" s="111"/>
      <c r="U74" s="111"/>
      <c r="V74" s="111"/>
      <c r="W74" s="111"/>
      <c r="X74" s="104"/>
      <c r="Y74" s="104"/>
      <c r="Z74" s="104"/>
      <c r="AA74" s="104"/>
      <c r="AB74" s="104"/>
      <c r="AC74" s="104"/>
      <c r="AD74" s="104"/>
      <c r="AE74" s="104"/>
      <c r="AF74" s="104"/>
      <c r="AG74" s="104"/>
      <c r="AH74" s="104"/>
      <c r="AI74" s="104"/>
      <c r="AJ74" s="243"/>
      <c r="AK74" s="243"/>
      <c r="AL74" s="243"/>
      <c r="AM74" s="243"/>
      <c r="AN74" s="245"/>
      <c r="AO74" s="245"/>
      <c r="AP74" s="246"/>
      <c r="AQ74" s="246"/>
      <c r="AR74" s="247"/>
      <c r="AS74" s="248"/>
      <c r="AT74" s="248"/>
      <c r="AU74" s="248"/>
      <c r="AV74" s="248"/>
      <c r="AW74" s="249"/>
      <c r="AX74" s="199" t="s">
        <v>461</v>
      </c>
    </row>
    <row r="75" spans="1:54" s="4" customFormat="1" ht="77.25" customHeight="1" x14ac:dyDescent="0.25">
      <c r="A75" s="364" t="s">
        <v>205</v>
      </c>
      <c r="B75" s="364" t="s">
        <v>462</v>
      </c>
      <c r="C75" s="364" t="s">
        <v>463</v>
      </c>
      <c r="D75" s="364" t="s">
        <v>464</v>
      </c>
      <c r="E75" s="364" t="s">
        <v>465</v>
      </c>
      <c r="F75" s="364" t="s">
        <v>466</v>
      </c>
      <c r="G75" s="364" t="s">
        <v>42</v>
      </c>
      <c r="H75" s="365" t="s">
        <v>43</v>
      </c>
      <c r="I75" s="364" t="s">
        <v>44</v>
      </c>
      <c r="J75" s="364" t="s">
        <v>69</v>
      </c>
      <c r="K75" s="364" t="s">
        <v>467</v>
      </c>
      <c r="L75" s="364" t="s">
        <v>468</v>
      </c>
      <c r="M75" s="364"/>
      <c r="N75" s="364"/>
      <c r="O75" s="365" t="s">
        <v>59</v>
      </c>
      <c r="P75" s="365" t="s">
        <v>72</v>
      </c>
      <c r="Q75" s="374">
        <v>1</v>
      </c>
      <c r="R75" s="169"/>
      <c r="S75" s="1"/>
      <c r="T75" s="1"/>
      <c r="U75" s="1"/>
      <c r="V75" s="1">
        <v>20</v>
      </c>
      <c r="W75" s="1">
        <v>20</v>
      </c>
      <c r="X75" s="2"/>
      <c r="Y75" s="2"/>
      <c r="Z75" s="2"/>
      <c r="AA75" s="2"/>
      <c r="AB75" s="5">
        <v>16</v>
      </c>
      <c r="AC75" s="5">
        <v>16</v>
      </c>
      <c r="AD75" s="2"/>
      <c r="AE75" s="2"/>
      <c r="AF75" s="2"/>
      <c r="AG75" s="2"/>
      <c r="AH75" s="2">
        <v>12</v>
      </c>
      <c r="AI75" s="218">
        <v>12</v>
      </c>
      <c r="AJ75" s="373"/>
      <c r="AK75" s="373"/>
      <c r="AL75" s="373"/>
      <c r="AM75" s="373"/>
      <c r="AN75" s="365">
        <v>12</v>
      </c>
      <c r="AO75" s="365">
        <v>12</v>
      </c>
      <c r="AP75" s="366"/>
      <c r="AQ75" s="366"/>
      <c r="AR75" s="50"/>
      <c r="AS75" s="50">
        <f>V75/W75</f>
        <v>1</v>
      </c>
      <c r="AT75" s="403">
        <f>AB75/AC75</f>
        <v>1</v>
      </c>
      <c r="AU75" s="210">
        <f>AH75/AI75</f>
        <v>1</v>
      </c>
      <c r="AV75" s="209">
        <f>AN75/AO75</f>
        <v>1</v>
      </c>
      <c r="AW75" s="212" t="s">
        <v>73</v>
      </c>
      <c r="AX75" s="175" t="s">
        <v>469</v>
      </c>
      <c r="AY75" s="63"/>
      <c r="AZ75" s="63"/>
      <c r="BA75" s="63"/>
      <c r="BB75" s="63"/>
    </row>
    <row r="76" spans="1:54" s="63" customFormat="1" ht="77.25" customHeight="1" x14ac:dyDescent="0.25">
      <c r="A76" s="364" t="s">
        <v>205</v>
      </c>
      <c r="B76" s="364" t="s">
        <v>462</v>
      </c>
      <c r="C76" s="364" t="s">
        <v>470</v>
      </c>
      <c r="D76" s="364" t="s">
        <v>471</v>
      </c>
      <c r="E76" s="364" t="s">
        <v>472</v>
      </c>
      <c r="F76" s="364" t="s">
        <v>466</v>
      </c>
      <c r="G76" s="364" t="s">
        <v>42</v>
      </c>
      <c r="H76" s="365" t="s">
        <v>43</v>
      </c>
      <c r="I76" s="364" t="s">
        <v>44</v>
      </c>
      <c r="J76" s="364" t="s">
        <v>69</v>
      </c>
      <c r="K76" s="364" t="s">
        <v>473</v>
      </c>
      <c r="L76" s="364" t="s">
        <v>474</v>
      </c>
      <c r="M76" s="364"/>
      <c r="N76" s="364"/>
      <c r="O76" s="365" t="s">
        <v>59</v>
      </c>
      <c r="P76" s="365" t="s">
        <v>72</v>
      </c>
      <c r="Q76" s="374">
        <v>1</v>
      </c>
      <c r="R76" s="169"/>
      <c r="S76" s="1"/>
      <c r="T76" s="1"/>
      <c r="U76" s="1"/>
      <c r="V76" s="1">
        <v>3</v>
      </c>
      <c r="W76" s="1">
        <v>3</v>
      </c>
      <c r="X76" s="2"/>
      <c r="Y76" s="2"/>
      <c r="Z76" s="2"/>
      <c r="AA76" s="2"/>
      <c r="AB76" s="5">
        <v>3</v>
      </c>
      <c r="AC76" s="5">
        <v>3</v>
      </c>
      <c r="AD76" s="2"/>
      <c r="AE76" s="2"/>
      <c r="AF76" s="2"/>
      <c r="AG76" s="3"/>
      <c r="AH76" s="5">
        <v>3</v>
      </c>
      <c r="AI76" s="185">
        <v>3</v>
      </c>
      <c r="AJ76" s="373"/>
      <c r="AK76" s="373"/>
      <c r="AL76" s="373"/>
      <c r="AM76" s="373"/>
      <c r="AN76" s="364">
        <v>3</v>
      </c>
      <c r="AO76" s="364">
        <v>3</v>
      </c>
      <c r="AP76" s="366"/>
      <c r="AQ76" s="366"/>
      <c r="AR76" s="50"/>
      <c r="AS76" s="50">
        <f>V76/W76</f>
        <v>1</v>
      </c>
      <c r="AT76" s="403">
        <f>AB76/AC76</f>
        <v>1</v>
      </c>
      <c r="AU76" s="210">
        <f>AH76/AI76</f>
        <v>1</v>
      </c>
      <c r="AV76" s="209">
        <f>AN76/AO76</f>
        <v>1</v>
      </c>
      <c r="AW76" s="212" t="s">
        <v>73</v>
      </c>
      <c r="AX76" s="175" t="s">
        <v>475</v>
      </c>
      <c r="AZ76" s="4"/>
      <c r="BA76" s="4"/>
    </row>
    <row r="77" spans="1:54" s="113" customFormat="1" ht="29.25" hidden="1" customHeight="1" x14ac:dyDescent="0.25">
      <c r="A77" s="113" t="s">
        <v>135</v>
      </c>
      <c r="B77" s="113" t="s">
        <v>382</v>
      </c>
      <c r="D77" s="202" t="s">
        <v>476</v>
      </c>
      <c r="E77" s="202" t="s">
        <v>477</v>
      </c>
      <c r="F77" s="202" t="s">
        <v>385</v>
      </c>
      <c r="G77" s="202" t="s">
        <v>83</v>
      </c>
      <c r="H77" s="179" t="s">
        <v>89</v>
      </c>
      <c r="I77" s="202" t="s">
        <v>44</v>
      </c>
      <c r="J77" s="202" t="s">
        <v>102</v>
      </c>
      <c r="K77" s="202" t="s">
        <v>478</v>
      </c>
      <c r="L77" s="202" t="s">
        <v>479</v>
      </c>
      <c r="M77" s="202"/>
      <c r="N77" s="202"/>
      <c r="O77" s="243" t="s">
        <v>202</v>
      </c>
      <c r="P77" s="243" t="s">
        <v>50</v>
      </c>
      <c r="Q77" s="244"/>
      <c r="R77" s="111"/>
      <c r="S77" s="111"/>
      <c r="T77" s="111"/>
      <c r="U77" s="111"/>
      <c r="V77" s="111"/>
      <c r="W77" s="111"/>
      <c r="X77" s="105"/>
      <c r="Y77" s="105"/>
      <c r="Z77" s="105"/>
      <c r="AA77" s="105"/>
      <c r="AB77" s="105"/>
      <c r="AC77" s="105"/>
      <c r="AD77" s="105"/>
      <c r="AE77" s="105"/>
      <c r="AF77" s="105"/>
      <c r="AG77" s="105"/>
      <c r="AH77" s="105"/>
      <c r="AI77" s="105"/>
      <c r="AJ77" s="245"/>
      <c r="AK77" s="245"/>
      <c r="AL77" s="245"/>
      <c r="AM77" s="245"/>
      <c r="AN77" s="245"/>
      <c r="AO77" s="245"/>
      <c r="AP77" s="265"/>
      <c r="AQ77" s="265"/>
      <c r="AR77" s="265"/>
      <c r="AS77" s="265"/>
      <c r="AT77" s="265"/>
      <c r="AU77" s="265"/>
      <c r="AV77" s="265"/>
      <c r="AW77" s="247"/>
      <c r="AX77" s="199"/>
    </row>
    <row r="78" spans="1:54" s="63" customFormat="1" ht="67.5" customHeight="1" x14ac:dyDescent="0.25">
      <c r="A78" s="364" t="s">
        <v>205</v>
      </c>
      <c r="B78" s="364" t="s">
        <v>462</v>
      </c>
      <c r="C78" s="364" t="s">
        <v>480</v>
      </c>
      <c r="D78" s="364" t="s">
        <v>481</v>
      </c>
      <c r="E78" s="364" t="s">
        <v>482</v>
      </c>
      <c r="F78" s="364" t="s">
        <v>466</v>
      </c>
      <c r="G78" s="364" t="s">
        <v>141</v>
      </c>
      <c r="H78" s="365" t="s">
        <v>43</v>
      </c>
      <c r="I78" s="364" t="s">
        <v>44</v>
      </c>
      <c r="J78" s="364" t="s">
        <v>69</v>
      </c>
      <c r="K78" s="364" t="s">
        <v>483</v>
      </c>
      <c r="L78" s="364" t="s">
        <v>484</v>
      </c>
      <c r="M78" s="364"/>
      <c r="N78" s="364"/>
      <c r="O78" s="365" t="s">
        <v>59</v>
      </c>
      <c r="P78" s="365" t="s">
        <v>72</v>
      </c>
      <c r="Q78" s="374">
        <v>1</v>
      </c>
      <c r="R78" s="169"/>
      <c r="S78" s="1"/>
      <c r="T78" s="1"/>
      <c r="U78" s="1"/>
      <c r="V78" s="1">
        <v>4647</v>
      </c>
      <c r="W78" s="1">
        <v>4649</v>
      </c>
      <c r="X78" s="2"/>
      <c r="Y78" s="2"/>
      <c r="Z78" s="2"/>
      <c r="AA78" s="107"/>
      <c r="AB78" s="2">
        <v>4376</v>
      </c>
      <c r="AC78" s="2">
        <v>4393</v>
      </c>
      <c r="AD78" s="2"/>
      <c r="AE78" s="2"/>
      <c r="AF78" s="2"/>
      <c r="AG78" s="2"/>
      <c r="AH78" s="5">
        <f>1583+1703+1583</f>
        <v>4869</v>
      </c>
      <c r="AI78" s="185">
        <f>1587+1709+1587</f>
        <v>4883</v>
      </c>
      <c r="AJ78" s="373"/>
      <c r="AK78" s="373"/>
      <c r="AL78" s="373"/>
      <c r="AM78" s="373"/>
      <c r="AN78" s="364">
        <v>5164</v>
      </c>
      <c r="AO78" s="364">
        <v>5187</v>
      </c>
      <c r="AP78" s="366"/>
      <c r="AQ78" s="366"/>
      <c r="AR78" s="88"/>
      <c r="AS78" s="50">
        <f>V78/W78</f>
        <v>0.99956979995698003</v>
      </c>
      <c r="AT78" s="403">
        <f>AB78/AC78</f>
        <v>0.99613020714773504</v>
      </c>
      <c r="AU78" s="210">
        <f>AH78/AI78</f>
        <v>0.99713291009625227</v>
      </c>
      <c r="AV78" s="210">
        <f>AN78/AO78</f>
        <v>0.99556583767110085</v>
      </c>
      <c r="AW78" s="212" t="s">
        <v>73</v>
      </c>
      <c r="AX78" s="175" t="s">
        <v>79</v>
      </c>
      <c r="BB78" s="4"/>
    </row>
    <row r="79" spans="1:54" s="63" customFormat="1" ht="71.25" customHeight="1" x14ac:dyDescent="0.25">
      <c r="A79" s="364" t="s">
        <v>205</v>
      </c>
      <c r="B79" s="364" t="s">
        <v>462</v>
      </c>
      <c r="C79" s="364" t="s">
        <v>485</v>
      </c>
      <c r="D79" s="364" t="s">
        <v>486</v>
      </c>
      <c r="E79" s="364" t="s">
        <v>487</v>
      </c>
      <c r="F79" s="364" t="s">
        <v>466</v>
      </c>
      <c r="G79" s="364" t="s">
        <v>141</v>
      </c>
      <c r="H79" s="365" t="s">
        <v>43</v>
      </c>
      <c r="I79" s="364" t="s">
        <v>44</v>
      </c>
      <c r="J79" s="364" t="s">
        <v>69</v>
      </c>
      <c r="K79" s="364" t="s">
        <v>488</v>
      </c>
      <c r="L79" s="364" t="s">
        <v>489</v>
      </c>
      <c r="M79" s="364"/>
      <c r="N79" s="364"/>
      <c r="O79" s="365" t="s">
        <v>59</v>
      </c>
      <c r="P79" s="365" t="s">
        <v>72</v>
      </c>
      <c r="Q79" s="374">
        <v>1</v>
      </c>
      <c r="S79" s="1"/>
      <c r="T79" s="1"/>
      <c r="U79" s="1"/>
      <c r="V79" s="1">
        <v>969</v>
      </c>
      <c r="W79" s="1">
        <v>969</v>
      </c>
      <c r="X79" s="2"/>
      <c r="Y79" s="2"/>
      <c r="Z79" s="2"/>
      <c r="AA79" s="2"/>
      <c r="AB79" s="2">
        <v>435</v>
      </c>
      <c r="AC79" s="2">
        <v>435</v>
      </c>
      <c r="AD79" s="2"/>
      <c r="AE79" s="2"/>
      <c r="AF79" s="2"/>
      <c r="AG79" s="2"/>
      <c r="AH79" s="52">
        <v>377</v>
      </c>
      <c r="AI79" s="222">
        <v>377</v>
      </c>
      <c r="AJ79" s="373"/>
      <c r="AK79" s="373"/>
      <c r="AL79" s="373"/>
      <c r="AM79" s="373"/>
      <c r="AN79" s="373">
        <v>918</v>
      </c>
      <c r="AO79" s="373">
        <v>918</v>
      </c>
      <c r="AP79" s="366"/>
      <c r="AQ79" s="366"/>
      <c r="AR79" s="50"/>
      <c r="AS79" s="50">
        <f>V79/W79</f>
        <v>1</v>
      </c>
      <c r="AT79" s="403">
        <f>AB79/AC79</f>
        <v>1</v>
      </c>
      <c r="AU79" s="210">
        <f>AH79/AI79</f>
        <v>1</v>
      </c>
      <c r="AV79" s="209">
        <f>AN79/AO79</f>
        <v>1</v>
      </c>
      <c r="AW79" s="212" t="s">
        <v>73</v>
      </c>
      <c r="AX79" s="175" t="s">
        <v>490</v>
      </c>
      <c r="AY79" s="278"/>
    </row>
    <row r="80" spans="1:54" s="63" customFormat="1" ht="77.25" customHeight="1" x14ac:dyDescent="0.25">
      <c r="A80" s="364" t="s">
        <v>205</v>
      </c>
      <c r="B80" s="364" t="s">
        <v>462</v>
      </c>
      <c r="C80" s="364" t="s">
        <v>491</v>
      </c>
      <c r="D80" s="364" t="s">
        <v>492</v>
      </c>
      <c r="E80" s="364" t="s">
        <v>493</v>
      </c>
      <c r="F80" s="364" t="s">
        <v>466</v>
      </c>
      <c r="G80" s="364" t="s">
        <v>141</v>
      </c>
      <c r="H80" s="365" t="s">
        <v>43</v>
      </c>
      <c r="I80" s="364" t="s">
        <v>44</v>
      </c>
      <c r="J80" s="364" t="s">
        <v>69</v>
      </c>
      <c r="K80" s="364" t="s">
        <v>494</v>
      </c>
      <c r="L80" s="364" t="s">
        <v>495</v>
      </c>
      <c r="M80" s="364"/>
      <c r="N80" s="364"/>
      <c r="O80" s="365" t="s">
        <v>59</v>
      </c>
      <c r="P80" s="365" t="s">
        <v>72</v>
      </c>
      <c r="Q80" s="374">
        <v>1</v>
      </c>
      <c r="T80" s="1"/>
      <c r="U80" s="1"/>
      <c r="V80" s="1">
        <v>1594</v>
      </c>
      <c r="W80" s="1">
        <v>1594</v>
      </c>
      <c r="X80" s="2"/>
      <c r="Y80" s="2"/>
      <c r="Z80" s="2"/>
      <c r="AA80" s="2"/>
      <c r="AB80" s="2">
        <v>645</v>
      </c>
      <c r="AC80" s="2">
        <v>645</v>
      </c>
      <c r="AD80" s="2"/>
      <c r="AE80" s="2"/>
      <c r="AF80" s="2"/>
      <c r="AG80" s="2"/>
      <c r="AH80" s="52">
        <f>341-6</f>
        <v>335</v>
      </c>
      <c r="AI80" s="222">
        <v>341</v>
      </c>
      <c r="AJ80" s="373"/>
      <c r="AK80" s="373"/>
      <c r="AL80" s="373"/>
      <c r="AM80" s="373"/>
      <c r="AN80" s="373">
        <v>1229</v>
      </c>
      <c r="AO80" s="373">
        <v>1229</v>
      </c>
      <c r="AP80" s="366"/>
      <c r="AQ80" s="366"/>
      <c r="AR80" s="50"/>
      <c r="AS80" s="50">
        <f>V80/W80</f>
        <v>1</v>
      </c>
      <c r="AT80" s="403">
        <f>AB80/AC80</f>
        <v>1</v>
      </c>
      <c r="AU80" s="210">
        <f>AH80/AI80</f>
        <v>0.98240469208211145</v>
      </c>
      <c r="AV80" s="209">
        <f>AN80/AO80</f>
        <v>1</v>
      </c>
      <c r="AW80" s="212" t="s">
        <v>73</v>
      </c>
      <c r="AX80" s="175" t="s">
        <v>496</v>
      </c>
      <c r="AY80" s="278"/>
    </row>
    <row r="81" spans="1:54" s="63" customFormat="1" ht="77.25" customHeight="1" x14ac:dyDescent="0.25">
      <c r="A81" s="365" t="s">
        <v>37</v>
      </c>
      <c r="B81" s="365" t="s">
        <v>38</v>
      </c>
      <c r="C81" s="365" t="s">
        <v>497</v>
      </c>
      <c r="D81" s="378" t="s">
        <v>498</v>
      </c>
      <c r="E81" s="378" t="s">
        <v>499</v>
      </c>
      <c r="F81" s="364" t="s">
        <v>41</v>
      </c>
      <c r="G81" s="365" t="s">
        <v>83</v>
      </c>
      <c r="H81" s="365" t="s">
        <v>43</v>
      </c>
      <c r="I81" s="365" t="s">
        <v>44</v>
      </c>
      <c r="J81" s="364" t="s">
        <v>45</v>
      </c>
      <c r="K81" s="364" t="s">
        <v>500</v>
      </c>
      <c r="L81" s="364" t="s">
        <v>501</v>
      </c>
      <c r="M81" s="364"/>
      <c r="N81" s="364"/>
      <c r="O81" s="365" t="s">
        <v>86</v>
      </c>
      <c r="P81" s="365" t="s">
        <v>72</v>
      </c>
      <c r="Q81" s="374">
        <v>1</v>
      </c>
      <c r="R81" s="99">
        <v>15</v>
      </c>
      <c r="S81" s="5">
        <v>15</v>
      </c>
      <c r="T81" s="5">
        <v>17</v>
      </c>
      <c r="U81" s="5">
        <v>17</v>
      </c>
      <c r="V81" s="5">
        <f>66/2</f>
        <v>33</v>
      </c>
      <c r="W81" s="5">
        <v>33</v>
      </c>
      <c r="X81" s="5">
        <v>19</v>
      </c>
      <c r="Y81" s="5">
        <v>20</v>
      </c>
      <c r="Z81" s="5">
        <v>36</v>
      </c>
      <c r="AA81" s="5">
        <v>36</v>
      </c>
      <c r="AB81" s="5">
        <v>45</v>
      </c>
      <c r="AC81" s="5">
        <v>45</v>
      </c>
      <c r="AD81" s="5">
        <v>47</v>
      </c>
      <c r="AE81" s="5">
        <v>49</v>
      </c>
      <c r="AF81" s="5">
        <v>9</v>
      </c>
      <c r="AG81" s="5">
        <v>9</v>
      </c>
      <c r="AH81" s="5">
        <v>21</v>
      </c>
      <c r="AI81" s="185">
        <v>21</v>
      </c>
      <c r="AJ81" s="365">
        <v>15</v>
      </c>
      <c r="AK81" s="365">
        <v>15</v>
      </c>
      <c r="AL81" s="365">
        <v>32</v>
      </c>
      <c r="AM81" s="102">
        <v>32</v>
      </c>
      <c r="AN81" s="365">
        <v>17</v>
      </c>
      <c r="AO81" s="365">
        <v>17</v>
      </c>
      <c r="AP81" s="366">
        <f t="shared" ref="AP81:AQ87" si="9">R81+T81+V81+X81+Z81+AB81+AD81+AF81+AH81+AJ81+AL81+AN81</f>
        <v>306</v>
      </c>
      <c r="AQ81" s="366">
        <f t="shared" si="9"/>
        <v>309</v>
      </c>
      <c r="AR81" s="89">
        <f t="shared" ref="AR81:AR87" si="10">AP81/AQ81</f>
        <v>0.99029126213592233</v>
      </c>
      <c r="AS81" s="89">
        <f t="shared" ref="AS81:AS87" si="11">IFERROR((R81+T81+V81)/(S81+U81+W81),"")</f>
        <v>1</v>
      </c>
      <c r="AT81" s="405">
        <f>IFERROR((X81+Z81+AB81)/(Y81+AA81+AC81),"")</f>
        <v>0.99009900990099009</v>
      </c>
      <c r="AU81" s="160">
        <f t="shared" ref="AU81:AU87" si="12">IFERROR((AD81+AF81+AH81)/(AE81+AG81+AI81),"0")</f>
        <v>0.97468354430379744</v>
      </c>
      <c r="AV81" s="160">
        <f t="shared" ref="AV81:AV87" si="13">IFERROR((AJ81+AL81+AN81)/(AK81+AM81+AO81),"0")</f>
        <v>1</v>
      </c>
      <c r="AW81" s="212" t="s">
        <v>73</v>
      </c>
      <c r="AX81" s="175" t="s">
        <v>502</v>
      </c>
      <c r="AY81" s="4"/>
      <c r="AZ81" s="3"/>
      <c r="BB81" s="4"/>
    </row>
    <row r="82" spans="1:54" s="63" customFormat="1" ht="84.75" hidden="1" customHeight="1" x14ac:dyDescent="0.25">
      <c r="A82" s="63" t="s">
        <v>37</v>
      </c>
      <c r="B82" s="179" t="s">
        <v>38</v>
      </c>
      <c r="C82" s="63" t="s">
        <v>503</v>
      </c>
      <c r="D82" s="179" t="s">
        <v>504</v>
      </c>
      <c r="E82" s="179" t="s">
        <v>505</v>
      </c>
      <c r="F82" s="179" t="s">
        <v>41</v>
      </c>
      <c r="G82" s="179" t="s">
        <v>42</v>
      </c>
      <c r="H82" s="179" t="s">
        <v>89</v>
      </c>
      <c r="I82" s="179" t="s">
        <v>44</v>
      </c>
      <c r="J82" s="264" t="s">
        <v>45</v>
      </c>
      <c r="K82" s="179" t="s">
        <v>506</v>
      </c>
      <c r="L82" s="179" t="s">
        <v>507</v>
      </c>
      <c r="M82" s="179"/>
      <c r="N82" s="179"/>
      <c r="O82" s="264" t="s">
        <v>86</v>
      </c>
      <c r="P82" s="264" t="s">
        <v>50</v>
      </c>
      <c r="Q82" s="418" t="s">
        <v>508</v>
      </c>
      <c r="R82" s="1">
        <v>0</v>
      </c>
      <c r="S82" s="1">
        <v>624</v>
      </c>
      <c r="T82" s="1">
        <v>0</v>
      </c>
      <c r="U82" s="1">
        <v>877</v>
      </c>
      <c r="V82" s="1">
        <v>0</v>
      </c>
      <c r="W82" s="1">
        <v>835</v>
      </c>
      <c r="X82" s="5">
        <v>0</v>
      </c>
      <c r="Y82" s="5">
        <v>585</v>
      </c>
      <c r="Z82" s="5">
        <v>0</v>
      </c>
      <c r="AA82" s="5">
        <v>711</v>
      </c>
      <c r="AB82" s="5">
        <v>0</v>
      </c>
      <c r="AC82" s="5">
        <v>157</v>
      </c>
      <c r="AD82" s="5">
        <v>0</v>
      </c>
      <c r="AE82" s="5">
        <f>4+18+9+16+9+5</f>
        <v>61</v>
      </c>
      <c r="AF82" s="5">
        <v>0</v>
      </c>
      <c r="AG82" s="5">
        <v>504</v>
      </c>
      <c r="AH82" s="5">
        <v>0</v>
      </c>
      <c r="AI82" s="5">
        <f>8+116+69+34+82+50+131+73+8+3+68</f>
        <v>642</v>
      </c>
      <c r="AJ82" s="264"/>
      <c r="AK82" s="264"/>
      <c r="AL82" s="264"/>
      <c r="AM82" s="264"/>
      <c r="AN82" s="264"/>
      <c r="AO82" s="264"/>
      <c r="AP82" s="414">
        <f t="shared" si="9"/>
        <v>0</v>
      </c>
      <c r="AQ82" s="414">
        <f t="shared" si="9"/>
        <v>4996</v>
      </c>
      <c r="AR82" s="417">
        <f t="shared" si="10"/>
        <v>0</v>
      </c>
      <c r="AS82" s="417">
        <f t="shared" si="11"/>
        <v>0</v>
      </c>
      <c r="AT82" s="89">
        <f>X82/Y82</f>
        <v>0</v>
      </c>
      <c r="AU82" s="89">
        <f t="shared" si="12"/>
        <v>0</v>
      </c>
      <c r="AV82" s="89" t="str">
        <f t="shared" si="13"/>
        <v>0</v>
      </c>
      <c r="AW82" s="271" t="s">
        <v>73</v>
      </c>
      <c r="AX82" s="203" t="s">
        <v>509</v>
      </c>
    </row>
    <row r="83" spans="1:54" s="63" customFormat="1" ht="84.75" customHeight="1" x14ac:dyDescent="0.25">
      <c r="A83" s="365" t="s">
        <v>37</v>
      </c>
      <c r="B83" s="365" t="s">
        <v>38</v>
      </c>
      <c r="C83" s="365" t="s">
        <v>510</v>
      </c>
      <c r="D83" s="364" t="s">
        <v>61</v>
      </c>
      <c r="E83" s="364" t="s">
        <v>511</v>
      </c>
      <c r="F83" s="364" t="s">
        <v>41</v>
      </c>
      <c r="G83" s="364" t="s">
        <v>42</v>
      </c>
      <c r="H83" s="365" t="s">
        <v>43</v>
      </c>
      <c r="I83" s="364" t="s">
        <v>44</v>
      </c>
      <c r="J83" s="364" t="s">
        <v>45</v>
      </c>
      <c r="K83" s="364" t="s">
        <v>512</v>
      </c>
      <c r="L83" s="364" t="s">
        <v>513</v>
      </c>
      <c r="M83" s="364"/>
      <c r="N83" s="364"/>
      <c r="O83" s="365" t="s">
        <v>240</v>
      </c>
      <c r="P83" s="365" t="s">
        <v>72</v>
      </c>
      <c r="Q83" s="374">
        <v>1</v>
      </c>
      <c r="R83" s="169">
        <v>392</v>
      </c>
      <c r="S83" s="1">
        <v>392</v>
      </c>
      <c r="T83" s="1">
        <v>565</v>
      </c>
      <c r="U83" s="1">
        <v>565</v>
      </c>
      <c r="V83" s="1">
        <v>603</v>
      </c>
      <c r="W83" s="1">
        <v>603</v>
      </c>
      <c r="X83" s="5">
        <v>524</v>
      </c>
      <c r="Y83" s="5">
        <v>524</v>
      </c>
      <c r="Z83" s="5">
        <v>571</v>
      </c>
      <c r="AA83" s="5">
        <v>571</v>
      </c>
      <c r="AB83" s="5">
        <v>589</v>
      </c>
      <c r="AC83" s="5">
        <v>589</v>
      </c>
      <c r="AD83" s="5">
        <v>474</v>
      </c>
      <c r="AE83" s="5">
        <v>474</v>
      </c>
      <c r="AF83" s="5">
        <v>499</v>
      </c>
      <c r="AG83" s="5">
        <v>499</v>
      </c>
      <c r="AH83" s="5">
        <v>582</v>
      </c>
      <c r="AI83" s="185">
        <v>583</v>
      </c>
      <c r="AJ83" s="365">
        <v>581</v>
      </c>
      <c r="AK83" s="365">
        <v>581</v>
      </c>
      <c r="AL83" s="365">
        <v>526</v>
      </c>
      <c r="AM83" s="365">
        <v>526</v>
      </c>
      <c r="AN83" s="365">
        <v>442</v>
      </c>
      <c r="AO83" s="365">
        <v>442</v>
      </c>
      <c r="AP83" s="366">
        <f t="shared" si="9"/>
        <v>6348</v>
      </c>
      <c r="AQ83" s="366">
        <f t="shared" si="9"/>
        <v>6349</v>
      </c>
      <c r="AR83" s="89">
        <f t="shared" si="10"/>
        <v>0.99984249488108368</v>
      </c>
      <c r="AS83" s="89">
        <f t="shared" si="11"/>
        <v>1</v>
      </c>
      <c r="AT83" s="399">
        <f>X83/Y83</f>
        <v>1</v>
      </c>
      <c r="AU83" s="89">
        <f t="shared" si="12"/>
        <v>0.99935732647814912</v>
      </c>
      <c r="AV83" s="89">
        <f t="shared" si="13"/>
        <v>1</v>
      </c>
      <c r="AW83" s="212" t="s">
        <v>73</v>
      </c>
      <c r="AX83" s="175" t="s">
        <v>514</v>
      </c>
    </row>
    <row r="84" spans="1:54" s="63" customFormat="1" ht="51.75" customHeight="1" x14ac:dyDescent="0.25">
      <c r="A84" s="365" t="s">
        <v>37</v>
      </c>
      <c r="B84" s="365" t="s">
        <v>38</v>
      </c>
      <c r="C84" s="365" t="s">
        <v>515</v>
      </c>
      <c r="D84" s="378" t="s">
        <v>516</v>
      </c>
      <c r="E84" s="378" t="s">
        <v>517</v>
      </c>
      <c r="F84" s="364" t="s">
        <v>41</v>
      </c>
      <c r="G84" s="365" t="s">
        <v>141</v>
      </c>
      <c r="H84" s="365" t="s">
        <v>43</v>
      </c>
      <c r="I84" s="365" t="s">
        <v>44</v>
      </c>
      <c r="J84" s="364" t="s">
        <v>45</v>
      </c>
      <c r="K84" s="364" t="s">
        <v>518</v>
      </c>
      <c r="L84" s="364" t="s">
        <v>519</v>
      </c>
      <c r="M84" s="364"/>
      <c r="N84" s="364"/>
      <c r="O84" s="365" t="s">
        <v>86</v>
      </c>
      <c r="P84" s="365" t="s">
        <v>72</v>
      </c>
      <c r="Q84" s="374">
        <v>1</v>
      </c>
      <c r="R84" s="99">
        <v>1008</v>
      </c>
      <c r="S84" s="5">
        <v>1028</v>
      </c>
      <c r="T84" s="5">
        <v>990</v>
      </c>
      <c r="U84" s="5">
        <v>1030</v>
      </c>
      <c r="V84" s="5">
        <v>1022</v>
      </c>
      <c r="W84" s="5">
        <v>1051</v>
      </c>
      <c r="X84" s="5">
        <v>1030</v>
      </c>
      <c r="Y84" s="5">
        <v>1041</v>
      </c>
      <c r="Z84" s="5">
        <v>955</v>
      </c>
      <c r="AA84" s="5">
        <v>995</v>
      </c>
      <c r="AB84" s="5">
        <v>1023</v>
      </c>
      <c r="AC84" s="5">
        <v>1036</v>
      </c>
      <c r="AD84" s="5">
        <v>1030</v>
      </c>
      <c r="AE84" s="5">
        <v>1030</v>
      </c>
      <c r="AF84" s="5">
        <v>1036</v>
      </c>
      <c r="AG84" s="5">
        <v>1047</v>
      </c>
      <c r="AH84" s="5">
        <v>1042</v>
      </c>
      <c r="AI84" s="185">
        <v>1042</v>
      </c>
      <c r="AJ84" s="365">
        <v>1013</v>
      </c>
      <c r="AK84" s="365">
        <v>1013</v>
      </c>
      <c r="AL84" s="365">
        <v>1003</v>
      </c>
      <c r="AM84" s="102">
        <v>1026</v>
      </c>
      <c r="AN84" s="365">
        <v>1028</v>
      </c>
      <c r="AO84" s="365">
        <v>1032</v>
      </c>
      <c r="AP84" s="366">
        <f t="shared" si="9"/>
        <v>12180</v>
      </c>
      <c r="AQ84" s="366">
        <f t="shared" si="9"/>
        <v>12371</v>
      </c>
      <c r="AR84" s="89">
        <f t="shared" si="10"/>
        <v>0.98456066607388248</v>
      </c>
      <c r="AS84" s="89">
        <f t="shared" si="11"/>
        <v>0.97137343197169512</v>
      </c>
      <c r="AT84" s="399">
        <f>IFERROR((X84+Z84+AB84)/(Y84+AA84+AC84),"")</f>
        <v>0.97916666666666663</v>
      </c>
      <c r="AU84" s="89">
        <f t="shared" si="12"/>
        <v>0.99647322859890985</v>
      </c>
      <c r="AV84" s="89">
        <f t="shared" si="13"/>
        <v>0.99120807554542489</v>
      </c>
      <c r="AW84" s="295" t="s">
        <v>73</v>
      </c>
      <c r="AX84" s="175" t="s">
        <v>514</v>
      </c>
      <c r="AY84" s="4"/>
      <c r="AZ84" s="3"/>
    </row>
    <row r="85" spans="1:54" s="63" customFormat="1" ht="74.25" customHeight="1" x14ac:dyDescent="0.25">
      <c r="A85" s="365" t="s">
        <v>37</v>
      </c>
      <c r="B85" s="365" t="s">
        <v>38</v>
      </c>
      <c r="C85" s="365" t="s">
        <v>520</v>
      </c>
      <c r="D85" s="378" t="s">
        <v>521</v>
      </c>
      <c r="E85" s="378" t="s">
        <v>522</v>
      </c>
      <c r="F85" s="364" t="s">
        <v>41</v>
      </c>
      <c r="G85" s="365" t="s">
        <v>42</v>
      </c>
      <c r="H85" s="365" t="s">
        <v>43</v>
      </c>
      <c r="I85" s="365" t="s">
        <v>44</v>
      </c>
      <c r="J85" s="364" t="s">
        <v>45</v>
      </c>
      <c r="K85" s="364" t="s">
        <v>523</v>
      </c>
      <c r="L85" s="364" t="s">
        <v>524</v>
      </c>
      <c r="M85" s="364"/>
      <c r="N85" s="364"/>
      <c r="O85" s="365" t="s">
        <v>86</v>
      </c>
      <c r="P85" s="365" t="s">
        <v>72</v>
      </c>
      <c r="Q85" s="374">
        <v>1</v>
      </c>
      <c r="R85" s="99">
        <f>462+155</f>
        <v>617</v>
      </c>
      <c r="S85" s="5">
        <v>617</v>
      </c>
      <c r="T85" s="5">
        <f>418+343</f>
        <v>761</v>
      </c>
      <c r="U85" s="5">
        <f>418+243</f>
        <v>661</v>
      </c>
      <c r="V85" s="5">
        <v>797</v>
      </c>
      <c r="W85" s="5">
        <v>797</v>
      </c>
      <c r="X85" s="5">
        <v>804</v>
      </c>
      <c r="Y85" s="5">
        <v>804</v>
      </c>
      <c r="Z85" s="5">
        <v>798</v>
      </c>
      <c r="AA85" s="5">
        <v>798</v>
      </c>
      <c r="AB85" s="5">
        <f>531+470</f>
        <v>1001</v>
      </c>
      <c r="AC85" s="5">
        <v>1001</v>
      </c>
      <c r="AD85" s="5">
        <v>853</v>
      </c>
      <c r="AE85" s="5">
        <f>493+360</f>
        <v>853</v>
      </c>
      <c r="AF85" s="5">
        <v>1182</v>
      </c>
      <c r="AG85" s="5">
        <v>1182</v>
      </c>
      <c r="AH85" s="5">
        <f>299+149+264+360</f>
        <v>1072</v>
      </c>
      <c r="AI85" s="185">
        <v>1072</v>
      </c>
      <c r="AJ85" s="365">
        <v>972</v>
      </c>
      <c r="AK85" s="365">
        <v>972</v>
      </c>
      <c r="AL85" s="365">
        <v>1100</v>
      </c>
      <c r="AM85" s="102">
        <f>687+413</f>
        <v>1100</v>
      </c>
      <c r="AN85" s="365">
        <f>733+384</f>
        <v>1117</v>
      </c>
      <c r="AO85" s="365">
        <f>733+384</f>
        <v>1117</v>
      </c>
      <c r="AP85" s="366">
        <f t="shared" si="9"/>
        <v>11074</v>
      </c>
      <c r="AQ85" s="366">
        <f t="shared" si="9"/>
        <v>10974</v>
      </c>
      <c r="AR85" s="89">
        <f t="shared" si="10"/>
        <v>1.0091124476034263</v>
      </c>
      <c r="AS85" s="89">
        <f t="shared" si="11"/>
        <v>1.0481927710843373</v>
      </c>
      <c r="AT85" s="399">
        <f>IFERROR((X85+Z85+AB85)/(Y85+AA85+AC85),"")</f>
        <v>1</v>
      </c>
      <c r="AU85" s="89">
        <f t="shared" si="12"/>
        <v>1</v>
      </c>
      <c r="AV85" s="89">
        <f t="shared" si="13"/>
        <v>1</v>
      </c>
      <c r="AW85" s="194" t="s">
        <v>73</v>
      </c>
      <c r="AX85" s="175" t="s">
        <v>514</v>
      </c>
      <c r="AY85" s="4"/>
      <c r="AZ85" s="3"/>
    </row>
    <row r="86" spans="1:54" s="4" customFormat="1" ht="69" customHeight="1" x14ac:dyDescent="0.25">
      <c r="A86" s="365" t="s">
        <v>37</v>
      </c>
      <c r="B86" s="365" t="s">
        <v>38</v>
      </c>
      <c r="C86" s="365" t="s">
        <v>525</v>
      </c>
      <c r="D86" s="364" t="s">
        <v>526</v>
      </c>
      <c r="E86" s="364" t="s">
        <v>527</v>
      </c>
      <c r="F86" s="364" t="s">
        <v>41</v>
      </c>
      <c r="G86" s="364" t="s">
        <v>42</v>
      </c>
      <c r="H86" s="365" t="s">
        <v>43</v>
      </c>
      <c r="I86" s="364" t="s">
        <v>44</v>
      </c>
      <c r="J86" s="364" t="s">
        <v>45</v>
      </c>
      <c r="K86" s="364" t="s">
        <v>528</v>
      </c>
      <c r="L86" s="364" t="s">
        <v>529</v>
      </c>
      <c r="M86" s="364"/>
      <c r="N86" s="364"/>
      <c r="O86" s="365" t="s">
        <v>86</v>
      </c>
      <c r="P86" s="365" t="s">
        <v>72</v>
      </c>
      <c r="Q86" s="379">
        <v>1</v>
      </c>
      <c r="R86" s="169">
        <v>7</v>
      </c>
      <c r="S86" s="1">
        <v>7</v>
      </c>
      <c r="T86" s="1">
        <v>3</v>
      </c>
      <c r="U86" s="1">
        <v>3</v>
      </c>
      <c r="V86" s="1">
        <v>11</v>
      </c>
      <c r="W86" s="1">
        <v>11</v>
      </c>
      <c r="X86" s="1">
        <v>6</v>
      </c>
      <c r="Y86" s="1">
        <v>6</v>
      </c>
      <c r="Z86" s="5">
        <v>4</v>
      </c>
      <c r="AA86" s="5">
        <v>4</v>
      </c>
      <c r="AB86" s="5">
        <v>4</v>
      </c>
      <c r="AC86" s="5">
        <v>4</v>
      </c>
      <c r="AD86" s="5">
        <v>7</v>
      </c>
      <c r="AE86" s="5">
        <v>7</v>
      </c>
      <c r="AF86" s="5">
        <v>6</v>
      </c>
      <c r="AG86" s="5">
        <v>6</v>
      </c>
      <c r="AH86" s="5">
        <v>5</v>
      </c>
      <c r="AI86" s="185">
        <v>5</v>
      </c>
      <c r="AJ86" s="365">
        <v>6</v>
      </c>
      <c r="AK86" s="365">
        <v>6</v>
      </c>
      <c r="AL86" s="365">
        <v>2</v>
      </c>
      <c r="AM86" s="365">
        <v>2</v>
      </c>
      <c r="AN86" s="365">
        <v>3</v>
      </c>
      <c r="AO86" s="365">
        <v>3</v>
      </c>
      <c r="AP86" s="366">
        <f t="shared" si="9"/>
        <v>64</v>
      </c>
      <c r="AQ86" s="366">
        <f t="shared" si="9"/>
        <v>64</v>
      </c>
      <c r="AR86" s="89">
        <f t="shared" si="10"/>
        <v>1</v>
      </c>
      <c r="AS86" s="89">
        <f t="shared" si="11"/>
        <v>1</v>
      </c>
      <c r="AT86" s="399">
        <f>IFERROR((X86+Z86+AB86)/(Y86+AA86+AC86),"")</f>
        <v>1</v>
      </c>
      <c r="AU86" s="89">
        <f t="shared" si="12"/>
        <v>1</v>
      </c>
      <c r="AV86" s="89">
        <f t="shared" si="13"/>
        <v>1</v>
      </c>
      <c r="AW86" s="296" t="s">
        <v>73</v>
      </c>
      <c r="AX86" s="175" t="s">
        <v>530</v>
      </c>
      <c r="AY86" s="63"/>
      <c r="AZ86" s="63"/>
      <c r="BA86" s="63"/>
      <c r="BB86" s="63"/>
    </row>
    <row r="87" spans="1:54" s="63" customFormat="1" ht="58.5" customHeight="1" x14ac:dyDescent="0.25">
      <c r="A87" s="365" t="s">
        <v>37</v>
      </c>
      <c r="B87" s="365" t="s">
        <v>38</v>
      </c>
      <c r="C87" s="365" t="s">
        <v>531</v>
      </c>
      <c r="D87" s="364" t="s">
        <v>532</v>
      </c>
      <c r="E87" s="364" t="s">
        <v>533</v>
      </c>
      <c r="F87" s="364" t="s">
        <v>41</v>
      </c>
      <c r="G87" s="364" t="s">
        <v>141</v>
      </c>
      <c r="H87" s="364" t="s">
        <v>89</v>
      </c>
      <c r="I87" s="364" t="s">
        <v>237</v>
      </c>
      <c r="J87" s="364" t="s">
        <v>45</v>
      </c>
      <c r="K87" s="364" t="s">
        <v>534</v>
      </c>
      <c r="L87" s="364" t="s">
        <v>535</v>
      </c>
      <c r="M87" s="364"/>
      <c r="N87" s="364"/>
      <c r="O87" s="365" t="s">
        <v>536</v>
      </c>
      <c r="P87" s="365" t="s">
        <v>72</v>
      </c>
      <c r="Q87" s="365">
        <v>10</v>
      </c>
      <c r="R87" s="169">
        <v>1005</v>
      </c>
      <c r="S87" s="1">
        <v>144</v>
      </c>
      <c r="T87" s="1">
        <v>1555</v>
      </c>
      <c r="U87" s="1">
        <v>161</v>
      </c>
      <c r="V87" s="91">
        <v>1101</v>
      </c>
      <c r="W87" s="1">
        <v>196</v>
      </c>
      <c r="X87" s="5">
        <v>1330</v>
      </c>
      <c r="Y87" s="5">
        <v>148</v>
      </c>
      <c r="Z87" s="5">
        <v>1048</v>
      </c>
      <c r="AA87" s="5">
        <v>153</v>
      </c>
      <c r="AB87" s="5">
        <v>1595</v>
      </c>
      <c r="AC87" s="5">
        <v>180</v>
      </c>
      <c r="AD87" s="5">
        <v>729</v>
      </c>
      <c r="AE87" s="5">
        <v>141</v>
      </c>
      <c r="AF87" s="5">
        <v>452</v>
      </c>
      <c r="AG87" s="5">
        <v>125</v>
      </c>
      <c r="AH87" s="5">
        <v>497</v>
      </c>
      <c r="AI87" s="185">
        <v>91</v>
      </c>
      <c r="AJ87" s="365">
        <v>622</v>
      </c>
      <c r="AK87" s="365">
        <v>122</v>
      </c>
      <c r="AL87" s="365">
        <v>717</v>
      </c>
      <c r="AM87" s="365">
        <v>119</v>
      </c>
      <c r="AN87" s="366">
        <v>764</v>
      </c>
      <c r="AO87" s="365">
        <v>118</v>
      </c>
      <c r="AP87" s="366">
        <f t="shared" si="9"/>
        <v>11415</v>
      </c>
      <c r="AQ87" s="366">
        <f t="shared" si="9"/>
        <v>1698</v>
      </c>
      <c r="AR87" s="93">
        <f t="shared" si="10"/>
        <v>6.7226148409893991</v>
      </c>
      <c r="AS87" s="93">
        <f t="shared" si="11"/>
        <v>7.3073852295409178</v>
      </c>
      <c r="AT87" s="409">
        <f>(X87+Z87+AB87)/(Y87+AA87+AC87)</f>
        <v>8.2598752598752601</v>
      </c>
      <c r="AU87" s="297">
        <f t="shared" si="12"/>
        <v>4.7002801120448181</v>
      </c>
      <c r="AV87" s="297">
        <f t="shared" si="13"/>
        <v>5.857938718662953</v>
      </c>
      <c r="AW87" s="273" t="s">
        <v>73</v>
      </c>
      <c r="AX87" s="278" t="s">
        <v>537</v>
      </c>
    </row>
    <row r="88" spans="1:54" s="63" customFormat="1" ht="130.5" customHeight="1" x14ac:dyDescent="0.25">
      <c r="A88" s="365" t="s">
        <v>205</v>
      </c>
      <c r="B88" s="364" t="s">
        <v>538</v>
      </c>
      <c r="C88" s="365" t="s">
        <v>539</v>
      </c>
      <c r="D88" s="364" t="s">
        <v>540</v>
      </c>
      <c r="E88" s="364" t="s">
        <v>541</v>
      </c>
      <c r="F88" s="364" t="s">
        <v>210</v>
      </c>
      <c r="G88" s="364" t="s">
        <v>42</v>
      </c>
      <c r="H88" s="365" t="s">
        <v>43</v>
      </c>
      <c r="I88" s="364" t="s">
        <v>44</v>
      </c>
      <c r="J88" s="364" t="s">
        <v>102</v>
      </c>
      <c r="K88" s="364" t="s">
        <v>542</v>
      </c>
      <c r="L88" s="364" t="s">
        <v>543</v>
      </c>
      <c r="M88" s="364"/>
      <c r="N88" s="364"/>
      <c r="O88" s="365" t="s">
        <v>59</v>
      </c>
      <c r="P88" s="365" t="s">
        <v>72</v>
      </c>
      <c r="Q88" s="374">
        <v>1</v>
      </c>
      <c r="R88" s="169"/>
      <c r="S88" s="5"/>
      <c r="T88" s="5"/>
      <c r="U88" s="5"/>
      <c r="V88" s="5"/>
      <c r="W88" s="5"/>
      <c r="X88" s="5"/>
      <c r="Y88" s="5"/>
      <c r="Z88" s="5"/>
      <c r="AA88" s="5"/>
      <c r="AB88" s="5">
        <v>28</v>
      </c>
      <c r="AC88" s="5">
        <v>28</v>
      </c>
      <c r="AD88" s="5"/>
      <c r="AE88" s="5"/>
      <c r="AF88" s="5"/>
      <c r="AG88" s="5"/>
      <c r="AH88" s="2"/>
      <c r="AI88" s="218"/>
      <c r="AJ88" s="373"/>
      <c r="AK88" s="373"/>
      <c r="AL88" s="373"/>
      <c r="AM88" s="373"/>
      <c r="AN88" s="365">
        <v>6</v>
      </c>
      <c r="AO88" s="365">
        <v>6</v>
      </c>
      <c r="AP88" s="366"/>
      <c r="AQ88" s="366"/>
      <c r="AR88" s="88"/>
      <c r="AS88" s="89"/>
      <c r="AT88" s="403">
        <f>AB88/AC88</f>
        <v>1</v>
      </c>
      <c r="AU88" s="210"/>
      <c r="AV88" s="213">
        <f>AN88/AO88</f>
        <v>1</v>
      </c>
      <c r="AW88" s="210" t="s">
        <v>73</v>
      </c>
      <c r="AX88" s="177" t="s">
        <v>79</v>
      </c>
      <c r="BB88" s="3"/>
    </row>
    <row r="89" spans="1:54" s="113" customFormat="1" ht="29.25" hidden="1" customHeight="1" x14ac:dyDescent="0.25">
      <c r="A89" s="113" t="s">
        <v>135</v>
      </c>
      <c r="B89" s="113" t="s">
        <v>358</v>
      </c>
      <c r="D89" s="256" t="s">
        <v>544</v>
      </c>
      <c r="E89" s="256" t="s">
        <v>545</v>
      </c>
      <c r="F89" s="256" t="s">
        <v>362</v>
      </c>
      <c r="G89" s="256" t="s">
        <v>42</v>
      </c>
      <c r="H89" s="150" t="s">
        <v>369</v>
      </c>
      <c r="I89" s="256" t="s">
        <v>44</v>
      </c>
      <c r="J89" s="256" t="s">
        <v>102</v>
      </c>
      <c r="K89" s="256" t="s">
        <v>546</v>
      </c>
      <c r="L89" s="256" t="s">
        <v>547</v>
      </c>
      <c r="M89" s="256"/>
      <c r="N89" s="256"/>
      <c r="O89" s="257" t="s">
        <v>59</v>
      </c>
      <c r="P89" s="257" t="s">
        <v>50</v>
      </c>
      <c r="Q89" s="258"/>
      <c r="R89" s="111"/>
      <c r="S89" s="111"/>
      <c r="T89" s="111"/>
      <c r="U89" s="111"/>
      <c r="V89" s="111"/>
      <c r="W89" s="111"/>
      <c r="X89" s="105"/>
      <c r="Y89" s="105"/>
      <c r="Z89" s="105"/>
      <c r="AA89" s="105"/>
      <c r="AB89" s="105"/>
      <c r="AC89" s="105"/>
      <c r="AD89" s="105"/>
      <c r="AE89" s="105"/>
      <c r="AF89" s="105"/>
      <c r="AG89" s="105"/>
      <c r="AH89" s="105"/>
      <c r="AI89" s="105"/>
      <c r="AJ89" s="257"/>
      <c r="AK89" s="257"/>
      <c r="AL89" s="259"/>
      <c r="AM89" s="259"/>
      <c r="AN89" s="259"/>
      <c r="AO89" s="259"/>
      <c r="AP89" s="266"/>
      <c r="AQ89" s="266"/>
      <c r="AR89" s="266"/>
      <c r="AS89" s="261"/>
      <c r="AT89" s="261"/>
      <c r="AU89" s="261"/>
      <c r="AV89" s="266"/>
      <c r="AW89" s="261"/>
      <c r="AX89" s="207"/>
    </row>
    <row r="90" spans="1:54" s="63" customFormat="1" ht="93" hidden="1" customHeight="1" x14ac:dyDescent="0.25">
      <c r="A90" s="63" t="s">
        <v>160</v>
      </c>
      <c r="B90" s="63" t="s">
        <v>184</v>
      </c>
      <c r="D90" s="192" t="s">
        <v>548</v>
      </c>
      <c r="E90" s="192" t="s">
        <v>549</v>
      </c>
      <c r="F90" s="192" t="s">
        <v>550</v>
      </c>
      <c r="G90" s="192" t="s">
        <v>141</v>
      </c>
      <c r="H90" s="187" t="s">
        <v>43</v>
      </c>
      <c r="I90" s="192" t="s">
        <v>44</v>
      </c>
      <c r="J90" s="192" t="s">
        <v>69</v>
      </c>
      <c r="K90" s="192" t="s">
        <v>551</v>
      </c>
      <c r="L90" s="192" t="s">
        <v>552</v>
      </c>
      <c r="M90" s="192"/>
      <c r="N90" s="192"/>
      <c r="O90" s="187" t="s">
        <v>59</v>
      </c>
      <c r="P90" s="187" t="s">
        <v>50</v>
      </c>
      <c r="Q90" s="235">
        <v>1</v>
      </c>
      <c r="R90" s="92"/>
      <c r="S90" s="92"/>
      <c r="T90" s="1"/>
      <c r="U90" s="1"/>
      <c r="V90" s="1">
        <v>43</v>
      </c>
      <c r="W90" s="1">
        <v>43</v>
      </c>
      <c r="X90" s="2"/>
      <c r="Y90" s="2"/>
      <c r="Z90" s="2"/>
      <c r="AA90" s="2"/>
      <c r="AB90" s="5">
        <v>129</v>
      </c>
      <c r="AC90" s="5">
        <v>129</v>
      </c>
      <c r="AD90" s="2"/>
      <c r="AE90" s="2"/>
      <c r="AF90" s="105"/>
      <c r="AG90" s="105"/>
      <c r="AH90" s="5"/>
      <c r="AI90" s="5"/>
      <c r="AJ90" s="239"/>
      <c r="AK90" s="239"/>
      <c r="AL90" s="239"/>
      <c r="AM90" s="239"/>
      <c r="AN90" s="187"/>
      <c r="AO90" s="187"/>
      <c r="AP90" s="224">
        <f>R90+T90+V90+X90+Z90+AB90+AD90+AF90+AH90+AJ90+AL90+AN90</f>
        <v>172</v>
      </c>
      <c r="AQ90" s="224">
        <f>S90+U90+W90+Y90+AA90+AC90+AE90+AG90+AI90+AK90+AM90+AO90</f>
        <v>172</v>
      </c>
      <c r="AR90" s="225">
        <f>(AP90/AQ90)</f>
        <v>1</v>
      </c>
      <c r="AS90" s="225">
        <v>1</v>
      </c>
      <c r="AT90" s="225"/>
      <c r="AU90" s="225"/>
      <c r="AV90" s="225">
        <v>1</v>
      </c>
      <c r="AW90" s="241" t="s">
        <v>73</v>
      </c>
      <c r="AX90" s="186" t="s">
        <v>553</v>
      </c>
    </row>
    <row r="91" spans="1:54" s="63" customFormat="1" ht="80.25" customHeight="1" x14ac:dyDescent="0.25">
      <c r="A91" s="365" t="s">
        <v>205</v>
      </c>
      <c r="B91" s="365" t="s">
        <v>538</v>
      </c>
      <c r="C91" s="365" t="s">
        <v>554</v>
      </c>
      <c r="D91" s="365" t="s">
        <v>555</v>
      </c>
      <c r="E91" s="365" t="s">
        <v>556</v>
      </c>
      <c r="F91" s="365" t="s">
        <v>210</v>
      </c>
      <c r="G91" s="365" t="s">
        <v>141</v>
      </c>
      <c r="H91" s="365" t="s">
        <v>43</v>
      </c>
      <c r="I91" s="365" t="s">
        <v>44</v>
      </c>
      <c r="J91" s="364" t="s">
        <v>150</v>
      </c>
      <c r="K91" s="365" t="s">
        <v>557</v>
      </c>
      <c r="L91" s="365" t="s">
        <v>558</v>
      </c>
      <c r="M91" s="365"/>
      <c r="N91" s="365"/>
      <c r="O91" s="365" t="s">
        <v>59</v>
      </c>
      <c r="P91" s="365" t="s">
        <v>72</v>
      </c>
      <c r="Q91" s="374">
        <v>1</v>
      </c>
      <c r="R91" s="99"/>
      <c r="S91" s="5"/>
      <c r="T91" s="5">
        <v>46</v>
      </c>
      <c r="U91" s="5">
        <v>46</v>
      </c>
      <c r="V91" s="5"/>
      <c r="W91" s="5"/>
      <c r="X91" s="5">
        <v>50</v>
      </c>
      <c r="Y91" s="5">
        <v>52</v>
      </c>
      <c r="Z91" s="5"/>
      <c r="AA91" s="5"/>
      <c r="AB91" s="5">
        <v>48</v>
      </c>
      <c r="AC91" s="5">
        <v>48</v>
      </c>
      <c r="AD91" s="5"/>
      <c r="AE91" s="5"/>
      <c r="AF91" s="5">
        <v>61</v>
      </c>
      <c r="AG91" s="5">
        <v>61</v>
      </c>
      <c r="AH91" s="142"/>
      <c r="AI91" s="223"/>
      <c r="AJ91" s="365">
        <v>63</v>
      </c>
      <c r="AK91" s="365">
        <v>63</v>
      </c>
      <c r="AL91" s="365"/>
      <c r="AM91" s="365"/>
      <c r="AN91" s="365">
        <v>39</v>
      </c>
      <c r="AO91" s="365">
        <v>39</v>
      </c>
      <c r="AP91" s="366"/>
      <c r="AQ91" s="366"/>
      <c r="AR91" s="88"/>
      <c r="AS91" s="89">
        <f>T91/U91</f>
        <v>1</v>
      </c>
      <c r="AT91" s="403">
        <f>(X91+AB91)/(Y91+AC91)</f>
        <v>0.98</v>
      </c>
      <c r="AU91" s="210">
        <f>AF91/AG91</f>
        <v>1</v>
      </c>
      <c r="AV91" s="210">
        <f>AO91/AN91</f>
        <v>1</v>
      </c>
      <c r="AW91" s="209" t="s">
        <v>559</v>
      </c>
      <c r="AX91" s="176" t="s">
        <v>560</v>
      </c>
      <c r="AY91" s="4"/>
      <c r="AZ91" s="4"/>
      <c r="BA91" s="4"/>
    </row>
    <row r="92" spans="1:54" s="63" customFormat="1" ht="63.75" x14ac:dyDescent="0.25">
      <c r="A92" s="364" t="s">
        <v>37</v>
      </c>
      <c r="B92" s="364" t="s">
        <v>561</v>
      </c>
      <c r="C92" s="364" t="s">
        <v>562</v>
      </c>
      <c r="D92" s="364" t="s">
        <v>563</v>
      </c>
      <c r="E92" s="364" t="s">
        <v>564</v>
      </c>
      <c r="F92" s="364" t="s">
        <v>257</v>
      </c>
      <c r="G92" s="364" t="s">
        <v>42</v>
      </c>
      <c r="H92" s="365" t="s">
        <v>43</v>
      </c>
      <c r="I92" s="364" t="s">
        <v>44</v>
      </c>
      <c r="J92" s="364" t="s">
        <v>69</v>
      </c>
      <c r="K92" s="364" t="s">
        <v>565</v>
      </c>
      <c r="L92" s="364" t="s">
        <v>566</v>
      </c>
      <c r="M92" s="364"/>
      <c r="N92" s="364"/>
      <c r="O92" s="365" t="s">
        <v>59</v>
      </c>
      <c r="P92" s="365" t="s">
        <v>72</v>
      </c>
      <c r="Q92" s="374">
        <v>1</v>
      </c>
      <c r="R92" s="169"/>
      <c r="S92" s="1"/>
      <c r="T92" s="1"/>
      <c r="U92" s="1"/>
      <c r="V92" s="1"/>
      <c r="W92" s="1"/>
      <c r="X92" s="5"/>
      <c r="Y92" s="5"/>
      <c r="Z92" s="5"/>
      <c r="AA92" s="5"/>
      <c r="AB92" s="5"/>
      <c r="AC92" s="5"/>
      <c r="AD92" s="169"/>
      <c r="AE92" s="169"/>
      <c r="AF92" s="169"/>
      <c r="AG92" s="169"/>
      <c r="AH92" s="169"/>
      <c r="AI92" s="83"/>
      <c r="AJ92" s="365"/>
      <c r="AK92" s="365"/>
      <c r="AL92" s="365"/>
      <c r="AM92" s="365"/>
      <c r="AN92" s="373">
        <v>63196</v>
      </c>
      <c r="AO92" s="373">
        <v>63507</v>
      </c>
      <c r="AP92" s="366"/>
      <c r="AQ92" s="366"/>
      <c r="AR92" s="50"/>
      <c r="AS92" s="89"/>
      <c r="AT92" s="403"/>
      <c r="AU92" s="210"/>
      <c r="AV92" s="210">
        <f>AN92/AO92</f>
        <v>0.99510290204229457</v>
      </c>
      <c r="AW92" s="212" t="s">
        <v>73</v>
      </c>
      <c r="AX92" s="175" t="s">
        <v>567</v>
      </c>
      <c r="AZ92" s="4"/>
      <c r="BA92" s="4"/>
    </row>
    <row r="93" spans="1:54" s="63" customFormat="1" ht="76.5" x14ac:dyDescent="0.25">
      <c r="A93" s="364" t="s">
        <v>37</v>
      </c>
      <c r="B93" s="364" t="s">
        <v>561</v>
      </c>
      <c r="C93" s="364" t="s">
        <v>568</v>
      </c>
      <c r="D93" s="364" t="s">
        <v>569</v>
      </c>
      <c r="E93" s="364" t="s">
        <v>570</v>
      </c>
      <c r="F93" s="364" t="s">
        <v>257</v>
      </c>
      <c r="G93" s="364" t="s">
        <v>141</v>
      </c>
      <c r="H93" s="365" t="s">
        <v>89</v>
      </c>
      <c r="I93" s="364" t="s">
        <v>258</v>
      </c>
      <c r="J93" s="364" t="s">
        <v>69</v>
      </c>
      <c r="K93" s="364" t="s">
        <v>571</v>
      </c>
      <c r="L93" s="364" t="s">
        <v>572</v>
      </c>
      <c r="M93" s="364"/>
      <c r="N93" s="364"/>
      <c r="O93" s="365" t="s">
        <v>59</v>
      </c>
      <c r="P93" s="365" t="s">
        <v>72</v>
      </c>
      <c r="Q93" s="374" t="s">
        <v>573</v>
      </c>
      <c r="R93" s="169"/>
      <c r="S93" s="1"/>
      <c r="T93" s="1"/>
      <c r="U93" s="1"/>
      <c r="V93" s="1"/>
      <c r="W93" s="1"/>
      <c r="X93" s="5"/>
      <c r="Y93" s="5"/>
      <c r="Z93" s="5"/>
      <c r="AA93" s="5"/>
      <c r="AB93" s="5"/>
      <c r="AC93" s="5"/>
      <c r="AD93" s="169"/>
      <c r="AE93" s="169"/>
      <c r="AF93" s="169"/>
      <c r="AG93" s="169"/>
      <c r="AH93" s="169"/>
      <c r="AI93" s="83"/>
      <c r="AJ93" s="365"/>
      <c r="AK93" s="365"/>
      <c r="AL93" s="365"/>
      <c r="AM93" s="365"/>
      <c r="AN93" s="373">
        <v>251</v>
      </c>
      <c r="AO93" s="373">
        <v>129600</v>
      </c>
      <c r="AP93" s="366"/>
      <c r="AQ93" s="366"/>
      <c r="AR93" s="50"/>
      <c r="AS93" s="89"/>
      <c r="AT93" s="403"/>
      <c r="AU93" s="210"/>
      <c r="AV93" s="210">
        <f>AN93/AO93</f>
        <v>1.9367283950617283E-3</v>
      </c>
      <c r="AW93" s="212" t="s">
        <v>73</v>
      </c>
      <c r="AX93" s="175" t="s">
        <v>567</v>
      </c>
      <c r="AZ93" s="4"/>
      <c r="BA93" s="4"/>
    </row>
    <row r="94" spans="1:54" s="4" customFormat="1" ht="80.25" customHeight="1" x14ac:dyDescent="0.25">
      <c r="A94" s="365" t="s">
        <v>135</v>
      </c>
      <c r="B94" s="365" t="s">
        <v>358</v>
      </c>
      <c r="C94" s="365" t="s">
        <v>574</v>
      </c>
      <c r="D94" s="365" t="s">
        <v>575</v>
      </c>
      <c r="E94" s="365" t="s">
        <v>576</v>
      </c>
      <c r="F94" s="365" t="s">
        <v>362</v>
      </c>
      <c r="G94" s="365" t="s">
        <v>141</v>
      </c>
      <c r="H94" s="365" t="s">
        <v>43</v>
      </c>
      <c r="I94" s="365" t="s">
        <v>44</v>
      </c>
      <c r="J94" s="364" t="s">
        <v>45</v>
      </c>
      <c r="K94" s="365" t="s">
        <v>577</v>
      </c>
      <c r="L94" s="365" t="s">
        <v>578</v>
      </c>
      <c r="M94" s="365"/>
      <c r="N94" s="365"/>
      <c r="O94" s="365" t="s">
        <v>59</v>
      </c>
      <c r="P94" s="365" t="s">
        <v>72</v>
      </c>
      <c r="Q94" s="374">
        <v>1</v>
      </c>
      <c r="R94" s="99">
        <v>23</v>
      </c>
      <c r="S94" s="5">
        <v>30</v>
      </c>
      <c r="T94" s="5">
        <v>24</v>
      </c>
      <c r="U94" s="5">
        <v>20</v>
      </c>
      <c r="V94" s="5">
        <v>31</v>
      </c>
      <c r="W94" s="5">
        <v>35</v>
      </c>
      <c r="X94" s="5">
        <v>32</v>
      </c>
      <c r="Y94" s="5">
        <v>28</v>
      </c>
      <c r="Z94" s="5">
        <v>33</v>
      </c>
      <c r="AA94" s="5">
        <v>33</v>
      </c>
      <c r="AB94" s="5">
        <v>21</v>
      </c>
      <c r="AC94" s="5">
        <v>19</v>
      </c>
      <c r="AD94" s="5">
        <v>30</v>
      </c>
      <c r="AE94" s="5">
        <v>35</v>
      </c>
      <c r="AF94" s="5">
        <v>41</v>
      </c>
      <c r="AG94" s="5">
        <v>40</v>
      </c>
      <c r="AH94" s="5">
        <v>22</v>
      </c>
      <c r="AI94" s="185">
        <v>18</v>
      </c>
      <c r="AJ94" s="365">
        <v>15</v>
      </c>
      <c r="AK94" s="365">
        <v>16</v>
      </c>
      <c r="AL94" s="365">
        <v>24</v>
      </c>
      <c r="AM94" s="365">
        <v>23</v>
      </c>
      <c r="AN94" s="366">
        <v>11</v>
      </c>
      <c r="AO94" s="365">
        <v>11</v>
      </c>
      <c r="AP94" s="366">
        <f>R94+T94+V94+X94+Z94+AB94+AD94+AD94+AF94+AH94+AJ94+AL94+AN94</f>
        <v>337</v>
      </c>
      <c r="AQ94" s="366">
        <f>S94+U94+W94+Y94+AA94+AC94+AE94+AE94+AG94+AI94+AK94+AM94+AO94</f>
        <v>343</v>
      </c>
      <c r="AR94" s="88">
        <f>AP94/AQ94</f>
        <v>0.98250728862973757</v>
      </c>
      <c r="AS94" s="89">
        <f>(R94+T94+V94)/(S94+U94+W94)</f>
        <v>0.91764705882352937</v>
      </c>
      <c r="AT94" s="405">
        <f>(X94+Z94+AB94)/(Y94+AA94+AC94)</f>
        <v>1.075</v>
      </c>
      <c r="AU94" s="160">
        <f>(AD94+AF94+AH94)/(AE94+AG94+AI94)</f>
        <v>1</v>
      </c>
      <c r="AV94" s="160">
        <f>(AJ94+AL94+AN94)/(AK94+AM94+AO94)</f>
        <v>1</v>
      </c>
      <c r="AW94" s="268" t="s">
        <v>73</v>
      </c>
      <c r="AX94" s="178" t="s">
        <v>579</v>
      </c>
    </row>
    <row r="95" spans="1:54" s="4" customFormat="1" ht="80.25" customHeight="1" x14ac:dyDescent="0.25">
      <c r="A95" s="365" t="s">
        <v>135</v>
      </c>
      <c r="B95" s="365" t="s">
        <v>358</v>
      </c>
      <c r="C95" s="365" t="s">
        <v>580</v>
      </c>
      <c r="D95" s="365" t="s">
        <v>581</v>
      </c>
      <c r="E95" s="365" t="s">
        <v>582</v>
      </c>
      <c r="F95" s="365" t="s">
        <v>362</v>
      </c>
      <c r="G95" s="365" t="s">
        <v>42</v>
      </c>
      <c r="H95" s="365" t="s">
        <v>43</v>
      </c>
      <c r="I95" s="365" t="s">
        <v>44</v>
      </c>
      <c r="J95" s="364" t="s">
        <v>45</v>
      </c>
      <c r="K95" s="365" t="s">
        <v>583</v>
      </c>
      <c r="L95" s="365" t="s">
        <v>584</v>
      </c>
      <c r="M95" s="365"/>
      <c r="N95" s="365"/>
      <c r="O95" s="365" t="s">
        <v>59</v>
      </c>
      <c r="P95" s="365" t="s">
        <v>72</v>
      </c>
      <c r="Q95" s="374">
        <v>1</v>
      </c>
      <c r="R95" s="99">
        <v>5</v>
      </c>
      <c r="S95" s="5">
        <v>5</v>
      </c>
      <c r="T95" s="5">
        <v>4</v>
      </c>
      <c r="U95" s="5">
        <v>5</v>
      </c>
      <c r="V95" s="5">
        <v>5</v>
      </c>
      <c r="W95" s="5">
        <v>5</v>
      </c>
      <c r="X95" s="5">
        <v>4</v>
      </c>
      <c r="Y95" s="5">
        <v>5</v>
      </c>
      <c r="Z95" s="5">
        <v>5</v>
      </c>
      <c r="AA95" s="5">
        <v>5</v>
      </c>
      <c r="AB95" s="5">
        <v>6</v>
      </c>
      <c r="AC95" s="5">
        <v>6</v>
      </c>
      <c r="AD95" s="5">
        <v>5</v>
      </c>
      <c r="AE95" s="5">
        <v>6</v>
      </c>
      <c r="AF95" s="5">
        <v>5</v>
      </c>
      <c r="AG95" s="5">
        <v>6</v>
      </c>
      <c r="AH95" s="5">
        <v>5</v>
      </c>
      <c r="AI95" s="185">
        <v>5</v>
      </c>
      <c r="AJ95" s="365">
        <v>5</v>
      </c>
      <c r="AK95" s="365">
        <v>5</v>
      </c>
      <c r="AL95" s="365">
        <v>5</v>
      </c>
      <c r="AM95" s="365">
        <v>5</v>
      </c>
      <c r="AN95" s="365">
        <v>4</v>
      </c>
      <c r="AO95" s="365">
        <v>6</v>
      </c>
      <c r="AP95" s="366">
        <f>R95+T95+V95+X95+Z95+AB95+AD95+AD95+AF95+AH95+AJ95+AL95+AN95</f>
        <v>63</v>
      </c>
      <c r="AQ95" s="366">
        <f>S95+U95+W95+Y95+AA95+AC95+AE95+AE95+AG95+AI95+AK95+AM95+AO95</f>
        <v>70</v>
      </c>
      <c r="AR95" s="88">
        <f>AP95/AQ95</f>
        <v>0.9</v>
      </c>
      <c r="AS95" s="89">
        <f>(R95+T95+V95)/(S95+U95+W95)</f>
        <v>0.93333333333333335</v>
      </c>
      <c r="AT95" s="402">
        <f>(X95+Z95+AB95)/(Y95+AA95+AC95)</f>
        <v>0.9375</v>
      </c>
      <c r="AU95" s="184">
        <f>(AD95+AF95+AH95)/(AE95+AG95+AI95)</f>
        <v>0.88235294117647056</v>
      </c>
      <c r="AV95" s="184">
        <f>(AJ95+AL95+AN95)/(AK95+AM95+AO95)</f>
        <v>0.875</v>
      </c>
      <c r="AW95" s="242" t="s">
        <v>73</v>
      </c>
      <c r="AX95" s="188" t="s">
        <v>585</v>
      </c>
    </row>
    <row r="96" spans="1:54" s="63" customFormat="1" ht="76.5" x14ac:dyDescent="0.25">
      <c r="A96" s="364" t="s">
        <v>135</v>
      </c>
      <c r="B96" s="364" t="s">
        <v>586</v>
      </c>
      <c r="C96" s="364" t="s">
        <v>587</v>
      </c>
      <c r="D96" s="364" t="s">
        <v>588</v>
      </c>
      <c r="E96" s="364" t="s">
        <v>589</v>
      </c>
      <c r="F96" s="364" t="s">
        <v>179</v>
      </c>
      <c r="G96" s="364" t="s">
        <v>42</v>
      </c>
      <c r="H96" s="365" t="s">
        <v>43</v>
      </c>
      <c r="I96" s="364" t="s">
        <v>258</v>
      </c>
      <c r="J96" s="364" t="s">
        <v>590</v>
      </c>
      <c r="K96" s="364" t="s">
        <v>591</v>
      </c>
      <c r="L96" s="364" t="s">
        <v>592</v>
      </c>
      <c r="M96" s="364" t="s">
        <v>593</v>
      </c>
      <c r="N96" s="364" t="s">
        <v>594</v>
      </c>
      <c r="O96" s="365" t="s">
        <v>595</v>
      </c>
      <c r="P96" s="365" t="s">
        <v>72</v>
      </c>
      <c r="Q96" s="374">
        <v>1</v>
      </c>
      <c r="X96" s="4"/>
      <c r="Y96" s="4"/>
      <c r="Z96" s="4"/>
      <c r="AA96" s="4"/>
      <c r="AB96" s="4"/>
      <c r="AC96" s="4"/>
      <c r="AJ96" s="365"/>
      <c r="AK96" s="365"/>
      <c r="AL96" s="365"/>
      <c r="AM96" s="365"/>
      <c r="AN96" s="373">
        <f>(8+21)</f>
        <v>29</v>
      </c>
      <c r="AO96" s="373">
        <f>(8+21)</f>
        <v>29</v>
      </c>
      <c r="AP96" s="366"/>
      <c r="AQ96" s="366"/>
      <c r="AR96" s="50"/>
      <c r="AS96" s="89"/>
      <c r="AT96" s="403"/>
      <c r="AU96" s="210"/>
      <c r="AV96" s="209">
        <f>AN96/AO96</f>
        <v>1</v>
      </c>
      <c r="AW96" s="212" t="s">
        <v>73</v>
      </c>
      <c r="AX96" s="175" t="s">
        <v>596</v>
      </c>
      <c r="AZ96" s="4"/>
      <c r="BA96" s="4"/>
    </row>
    <row r="97" spans="4:50" x14ac:dyDescent="0.25">
      <c r="AS97" s="97"/>
    </row>
    <row r="98" spans="4:50" ht="13.5" thickBot="1" x14ac:dyDescent="0.3"/>
    <row r="99" spans="4:50" ht="60" customHeight="1" thickBot="1" x14ac:dyDescent="0.3">
      <c r="D99" s="383"/>
      <c r="E99" s="384"/>
      <c r="F99" s="384"/>
      <c r="G99" s="385"/>
      <c r="H99" s="385"/>
      <c r="I99" s="385"/>
      <c r="J99" s="386"/>
      <c r="K99" s="384"/>
      <c r="L99" s="384"/>
      <c r="M99" s="384"/>
      <c r="N99" s="384"/>
      <c r="O99" s="385"/>
      <c r="P99" s="385"/>
      <c r="Q99" s="387"/>
      <c r="R99" s="74"/>
      <c r="S99" s="74"/>
      <c r="T99" s="74"/>
      <c r="U99" s="74"/>
      <c r="V99" s="74"/>
      <c r="W99" s="74"/>
      <c r="X99" s="74"/>
      <c r="Y99" s="74"/>
      <c r="Z99" s="74"/>
      <c r="AA99" s="74"/>
      <c r="AB99" s="74"/>
      <c r="AC99" s="74"/>
      <c r="AD99" s="74"/>
      <c r="AE99" s="74"/>
      <c r="AF99" s="74"/>
      <c r="AG99" s="74"/>
      <c r="AH99" s="74"/>
      <c r="AI99" s="74"/>
      <c r="AJ99" s="389"/>
      <c r="AK99" s="385"/>
      <c r="AL99" s="385"/>
      <c r="AM99" s="390"/>
      <c r="AN99" s="385"/>
      <c r="AO99" s="385"/>
      <c r="AP99" s="385"/>
      <c r="AQ99" s="385"/>
      <c r="AR99" s="385"/>
      <c r="AS99" s="385"/>
      <c r="AT99" s="276"/>
      <c r="AU99" s="276"/>
      <c r="AV99" s="276"/>
      <c r="AW99" s="276"/>
      <c r="AX99" s="277"/>
    </row>
  </sheetData>
  <autoFilter ref="A4:BB96" xr:uid="{00000000-0009-0000-0000-000000000000}">
    <filterColumn colId="15">
      <filters>
        <filter val="Activo"/>
      </filters>
    </filterColumn>
    <sortState xmlns:xlrd2="http://schemas.microsoft.com/office/spreadsheetml/2017/richdata2" ref="A81:BB87">
      <sortCondition descending="1" ref="D4:D96"/>
    </sortState>
  </autoFilter>
  <mergeCells count="2">
    <mergeCell ref="E1:AS1"/>
    <mergeCell ref="AT1:AX1"/>
  </mergeCells>
  <conditionalFormatting sqref="AW2:AW1048576 AK45">
    <cfRule type="cellIs" dxfId="8" priority="10" operator="equal">
      <formula>"En alerta"</formula>
    </cfRule>
    <cfRule type="cellIs" dxfId="7" priority="11" operator="equal">
      <formula>"En ejecución"</formula>
    </cfRule>
    <cfRule type="cellIs" dxfId="6" priority="12" operator="equal">
      <formula>"En cumplimiento"</formula>
    </cfRule>
  </conditionalFormatting>
  <pageMargins left="0.7" right="0.7" top="0.75" bottom="0.75" header="0.3" footer="0.3"/>
  <pageSetup scale="79" orientation="portrait" r:id="rId1"/>
  <rowBreaks count="1" manualBreakCount="1">
    <brk id="15" max="16383" man="1"/>
  </rowBreaks>
  <colBreaks count="1" manualBreakCount="1">
    <brk id="4"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dimension ref="A1:E28"/>
  <sheetViews>
    <sheetView zoomScale="120" zoomScaleNormal="120" workbookViewId="0">
      <pane xSplit="1" ySplit="2" topLeftCell="C6" activePane="bottomRight" state="frozen"/>
      <selection pane="topRight" activeCell="B1" sqref="B1"/>
      <selection pane="bottomLeft" activeCell="A3" sqref="A3"/>
      <selection pane="bottomRight" activeCell="C2" sqref="C2"/>
    </sheetView>
  </sheetViews>
  <sheetFormatPr baseColWidth="10" defaultColWidth="11.42578125" defaultRowHeight="12.75" x14ac:dyDescent="0.2"/>
  <cols>
    <col min="1" max="1" width="40.7109375" style="8" customWidth="1"/>
    <col min="2" max="2" width="35.7109375" style="8" customWidth="1"/>
    <col min="3" max="3" width="27.85546875" style="8" customWidth="1"/>
    <col min="4" max="4" width="27" style="8" customWidth="1"/>
    <col min="5" max="5" width="28.28515625" style="8" customWidth="1"/>
    <col min="6" max="16384" width="11.42578125" style="8"/>
  </cols>
  <sheetData>
    <row r="1" spans="1:5" x14ac:dyDescent="0.2">
      <c r="A1" s="361" t="s">
        <v>1045</v>
      </c>
      <c r="B1" s="361" t="s">
        <v>630</v>
      </c>
      <c r="C1" s="361" t="s">
        <v>1046</v>
      </c>
      <c r="D1" s="361"/>
      <c r="E1" s="360" t="s">
        <v>977</v>
      </c>
    </row>
    <row r="2" spans="1:5" x14ac:dyDescent="0.2">
      <c r="A2" s="361"/>
      <c r="B2" s="361"/>
      <c r="C2" s="85" t="s">
        <v>902</v>
      </c>
      <c r="D2" s="85" t="s">
        <v>1047</v>
      </c>
      <c r="E2" s="360"/>
    </row>
    <row r="3" spans="1:5" ht="52.5" hidden="1" customHeight="1" x14ac:dyDescent="0.2">
      <c r="A3" s="9" t="s">
        <v>1048</v>
      </c>
      <c r="B3" s="9" t="s">
        <v>1049</v>
      </c>
      <c r="C3" s="9" t="s">
        <v>1050</v>
      </c>
      <c r="D3" s="9" t="s">
        <v>1051</v>
      </c>
      <c r="E3" s="9" t="s">
        <v>1052</v>
      </c>
    </row>
    <row r="4" spans="1:5" ht="38.25" hidden="1" x14ac:dyDescent="0.2">
      <c r="A4" s="9" t="s">
        <v>1053</v>
      </c>
      <c r="B4" s="9" t="s">
        <v>1054</v>
      </c>
      <c r="C4" s="9" t="s">
        <v>1055</v>
      </c>
      <c r="D4" s="9" t="s">
        <v>1056</v>
      </c>
      <c r="E4" s="9" t="s">
        <v>1057</v>
      </c>
    </row>
    <row r="5" spans="1:5" ht="51" hidden="1" x14ac:dyDescent="0.2">
      <c r="A5" s="9" t="s">
        <v>1058</v>
      </c>
      <c r="B5" s="86" t="s">
        <v>1059</v>
      </c>
      <c r="C5" s="86" t="s">
        <v>1060</v>
      </c>
      <c r="D5" s="86" t="s">
        <v>1061</v>
      </c>
      <c r="E5" s="86" t="s">
        <v>1062</v>
      </c>
    </row>
    <row r="6" spans="1:5" ht="51" x14ac:dyDescent="0.2">
      <c r="A6" s="9" t="s">
        <v>1058</v>
      </c>
      <c r="B6" s="86" t="s">
        <v>1063</v>
      </c>
      <c r="C6" s="86" t="s">
        <v>1064</v>
      </c>
      <c r="D6" s="86" t="s">
        <v>1065</v>
      </c>
      <c r="E6" s="86" t="s">
        <v>1066</v>
      </c>
    </row>
    <row r="7" spans="1:5" ht="51" hidden="1" x14ac:dyDescent="0.2">
      <c r="A7" s="9" t="s">
        <v>1058</v>
      </c>
      <c r="B7" s="86" t="s">
        <v>1067</v>
      </c>
      <c r="C7" s="86" t="s">
        <v>986</v>
      </c>
      <c r="D7" s="86" t="s">
        <v>1068</v>
      </c>
      <c r="E7" s="86" t="s">
        <v>1069</v>
      </c>
    </row>
    <row r="8" spans="1:5" ht="51" hidden="1" x14ac:dyDescent="0.2">
      <c r="A8" s="9" t="s">
        <v>1058</v>
      </c>
      <c r="B8" s="86" t="s">
        <v>1070</v>
      </c>
      <c r="C8" s="86" t="s">
        <v>1071</v>
      </c>
      <c r="D8" s="86" t="s">
        <v>1072</v>
      </c>
      <c r="E8" s="86" t="s">
        <v>1073</v>
      </c>
    </row>
    <row r="9" spans="1:5" ht="55.5" hidden="1" customHeight="1" x14ac:dyDescent="0.2">
      <c r="A9" s="9" t="s">
        <v>1058</v>
      </c>
      <c r="B9" s="86" t="s">
        <v>1074</v>
      </c>
      <c r="C9" s="86" t="s">
        <v>1075</v>
      </c>
      <c r="D9" s="86" t="s">
        <v>1076</v>
      </c>
      <c r="E9" s="86" t="s">
        <v>1077</v>
      </c>
    </row>
    <row r="10" spans="1:5" ht="63.75" hidden="1" x14ac:dyDescent="0.2">
      <c r="A10" s="9" t="s">
        <v>1078</v>
      </c>
      <c r="B10" s="86" t="s">
        <v>1079</v>
      </c>
      <c r="C10" s="86" t="s">
        <v>1080</v>
      </c>
      <c r="D10" s="86" t="s">
        <v>1081</v>
      </c>
      <c r="E10" s="86" t="s">
        <v>1082</v>
      </c>
    </row>
    <row r="11" spans="1:5" ht="63.75" hidden="1" x14ac:dyDescent="0.2">
      <c r="A11" s="9" t="s">
        <v>1078</v>
      </c>
      <c r="B11" s="86" t="s">
        <v>1083</v>
      </c>
      <c r="C11" s="86" t="s">
        <v>1084</v>
      </c>
      <c r="D11" s="86" t="s">
        <v>1081</v>
      </c>
      <c r="E11" s="86" t="s">
        <v>1085</v>
      </c>
    </row>
    <row r="12" spans="1:5" ht="129" hidden="1" customHeight="1" x14ac:dyDescent="0.2">
      <c r="A12" s="9" t="s">
        <v>1086</v>
      </c>
      <c r="B12" s="86" t="s">
        <v>1087</v>
      </c>
      <c r="C12" s="86" t="s">
        <v>1088</v>
      </c>
      <c r="D12" s="86" t="s">
        <v>1089</v>
      </c>
      <c r="E12" s="86" t="s">
        <v>1090</v>
      </c>
    </row>
    <row r="13" spans="1:5" ht="89.25" hidden="1" x14ac:dyDescent="0.2">
      <c r="A13" s="9" t="s">
        <v>1086</v>
      </c>
      <c r="B13" s="86" t="s">
        <v>1091</v>
      </c>
      <c r="C13" s="86" t="s">
        <v>1092</v>
      </c>
      <c r="D13" s="86" t="s">
        <v>1081</v>
      </c>
      <c r="E13" s="86" t="s">
        <v>1093</v>
      </c>
    </row>
    <row r="14" spans="1:5" ht="89.25" hidden="1" x14ac:dyDescent="0.2">
      <c r="A14" s="9" t="s">
        <v>1086</v>
      </c>
      <c r="B14" s="86" t="s">
        <v>1094</v>
      </c>
      <c r="C14" s="86" t="s">
        <v>981</v>
      </c>
      <c r="D14" s="86" t="s">
        <v>1095</v>
      </c>
      <c r="E14" s="86" t="s">
        <v>1096</v>
      </c>
    </row>
    <row r="15" spans="1:5" ht="89.25" hidden="1" x14ac:dyDescent="0.2">
      <c r="A15" s="9" t="s">
        <v>1086</v>
      </c>
      <c r="B15" s="86" t="s">
        <v>1097</v>
      </c>
      <c r="C15" s="86" t="s">
        <v>1098</v>
      </c>
      <c r="D15" s="86" t="s">
        <v>1089</v>
      </c>
      <c r="E15" s="86" t="s">
        <v>1099</v>
      </c>
    </row>
    <row r="16" spans="1:5" ht="89.25" hidden="1" x14ac:dyDescent="0.2">
      <c r="A16" s="9" t="s">
        <v>1086</v>
      </c>
      <c r="B16" s="86" t="s">
        <v>1100</v>
      </c>
      <c r="C16" s="86" t="s">
        <v>1101</v>
      </c>
      <c r="D16" s="86" t="s">
        <v>1081</v>
      </c>
      <c r="E16" s="86" t="s">
        <v>1102</v>
      </c>
    </row>
    <row r="17" spans="1:5" ht="89.25" hidden="1" x14ac:dyDescent="0.2">
      <c r="A17" s="9" t="s">
        <v>1086</v>
      </c>
      <c r="B17" s="86" t="s">
        <v>1103</v>
      </c>
      <c r="C17" s="86" t="s">
        <v>1104</v>
      </c>
      <c r="D17" s="86" t="s">
        <v>1105</v>
      </c>
      <c r="E17" s="86" t="s">
        <v>1106</v>
      </c>
    </row>
    <row r="18" spans="1:5" ht="89.25" hidden="1" x14ac:dyDescent="0.2">
      <c r="A18" s="9" t="s">
        <v>1086</v>
      </c>
      <c r="B18" s="86" t="s">
        <v>1107</v>
      </c>
      <c r="C18" s="86" t="s">
        <v>1108</v>
      </c>
      <c r="D18" s="86" t="s">
        <v>1109</v>
      </c>
      <c r="E18" s="86" t="s">
        <v>1110</v>
      </c>
    </row>
    <row r="19" spans="1:5" ht="38.25" hidden="1" x14ac:dyDescent="0.2">
      <c r="A19" s="9" t="s">
        <v>1111</v>
      </c>
      <c r="B19" s="86" t="s">
        <v>1112</v>
      </c>
      <c r="C19" s="86" t="s">
        <v>1113</v>
      </c>
      <c r="D19" s="86" t="s">
        <v>1114</v>
      </c>
      <c r="E19" s="86" t="s">
        <v>1115</v>
      </c>
    </row>
    <row r="20" spans="1:5" ht="38.25" hidden="1" x14ac:dyDescent="0.2">
      <c r="A20" s="9" t="s">
        <v>1111</v>
      </c>
      <c r="B20" s="86" t="s">
        <v>1116</v>
      </c>
      <c r="C20" s="86" t="s">
        <v>992</v>
      </c>
      <c r="D20" s="86" t="s">
        <v>1114</v>
      </c>
      <c r="E20" s="86" t="s">
        <v>1117</v>
      </c>
    </row>
    <row r="21" spans="1:5" ht="50.25" hidden="1" customHeight="1" x14ac:dyDescent="0.2">
      <c r="A21" s="9" t="s">
        <v>1111</v>
      </c>
      <c r="B21" s="86" t="s">
        <v>1118</v>
      </c>
      <c r="C21" s="86" t="s">
        <v>991</v>
      </c>
      <c r="D21" s="86" t="s">
        <v>1114</v>
      </c>
      <c r="E21" s="86" t="s">
        <v>1119</v>
      </c>
    </row>
    <row r="22" spans="1:5" ht="57.75" hidden="1" customHeight="1" x14ac:dyDescent="0.2">
      <c r="A22" s="9" t="s">
        <v>1120</v>
      </c>
      <c r="B22" s="86" t="s">
        <v>1121</v>
      </c>
      <c r="C22" s="86" t="s">
        <v>1122</v>
      </c>
      <c r="D22" s="86" t="s">
        <v>1081</v>
      </c>
      <c r="E22" s="86" t="s">
        <v>1123</v>
      </c>
    </row>
    <row r="23" spans="1:5" ht="62.25" hidden="1" customHeight="1" x14ac:dyDescent="0.2">
      <c r="A23" s="9" t="s">
        <v>1120</v>
      </c>
      <c r="B23" s="86" t="s">
        <v>1083</v>
      </c>
      <c r="C23" s="86" t="s">
        <v>1084</v>
      </c>
      <c r="D23" s="86" t="s">
        <v>1081</v>
      </c>
      <c r="E23" s="86" t="s">
        <v>1085</v>
      </c>
    </row>
    <row r="24" spans="1:5" ht="38.25" hidden="1" x14ac:dyDescent="0.2">
      <c r="A24" s="9" t="s">
        <v>1124</v>
      </c>
      <c r="B24" s="86" t="s">
        <v>949</v>
      </c>
      <c r="C24" s="86" t="s">
        <v>1125</v>
      </c>
      <c r="D24" s="86" t="s">
        <v>1126</v>
      </c>
      <c r="E24" s="86" t="s">
        <v>1127</v>
      </c>
    </row>
    <row r="25" spans="1:5" ht="51" hidden="1" x14ac:dyDescent="0.2">
      <c r="A25" s="9" t="s">
        <v>1124</v>
      </c>
      <c r="B25" s="86" t="s">
        <v>1128</v>
      </c>
      <c r="C25" s="86" t="s">
        <v>1129</v>
      </c>
      <c r="D25" s="86" t="s">
        <v>1081</v>
      </c>
      <c r="E25" s="86" t="s">
        <v>1130</v>
      </c>
    </row>
    <row r="26" spans="1:5" ht="69.75" hidden="1" customHeight="1" x14ac:dyDescent="0.2">
      <c r="A26" s="9" t="s">
        <v>1124</v>
      </c>
      <c r="B26" s="362" t="s">
        <v>1131</v>
      </c>
      <c r="C26" s="362" t="s">
        <v>1132</v>
      </c>
      <c r="D26" s="362" t="s">
        <v>1133</v>
      </c>
      <c r="E26" s="86" t="s">
        <v>1134</v>
      </c>
    </row>
    <row r="27" spans="1:5" ht="38.25" hidden="1" x14ac:dyDescent="0.2">
      <c r="A27" s="9" t="s">
        <v>1124</v>
      </c>
      <c r="B27" s="362"/>
      <c r="C27" s="362"/>
      <c r="D27" s="362"/>
      <c r="E27" s="86" t="s">
        <v>1135</v>
      </c>
    </row>
    <row r="28" spans="1:5" ht="63.75" hidden="1" x14ac:dyDescent="0.2">
      <c r="A28" s="9" t="s">
        <v>1124</v>
      </c>
      <c r="B28" s="86" t="s">
        <v>1136</v>
      </c>
      <c r="C28" s="86" t="s">
        <v>1137</v>
      </c>
      <c r="D28" s="86" t="s">
        <v>1138</v>
      </c>
      <c r="E28" s="86" t="s">
        <v>1139</v>
      </c>
    </row>
  </sheetData>
  <autoFilter ref="A2:E28" xr:uid="{00000000-0009-0000-0000-000009000000}">
    <filterColumn colId="1">
      <filters>
        <filter val="Adquirir  3.847 medios de transporte para el fortalecimiento de los organismos de seguridad, defensa y justicia"/>
      </filters>
    </filterColumn>
  </autoFilter>
  <mergeCells count="7">
    <mergeCell ref="E1:E2"/>
    <mergeCell ref="A1:A2"/>
    <mergeCell ref="B26:B27"/>
    <mergeCell ref="C26:C27"/>
    <mergeCell ref="D26:D27"/>
    <mergeCell ref="B1:B2"/>
    <mergeCell ref="C1:D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7:G31"/>
  <sheetViews>
    <sheetView topLeftCell="A17" workbookViewId="0">
      <selection activeCell="E19" sqref="E19"/>
    </sheetView>
  </sheetViews>
  <sheetFormatPr baseColWidth="10" defaultColWidth="11.42578125" defaultRowHeight="15" x14ac:dyDescent="0.25"/>
  <cols>
    <col min="5" max="5" width="20.85546875" customWidth="1"/>
    <col min="6" max="6" width="37" customWidth="1"/>
  </cols>
  <sheetData>
    <row r="7" spans="4:6" x14ac:dyDescent="0.25">
      <c r="D7" s="143" t="s">
        <v>597</v>
      </c>
      <c r="E7" s="144" t="s">
        <v>598</v>
      </c>
      <c r="F7" s="144" t="s">
        <v>599</v>
      </c>
    </row>
    <row r="8" spans="4:6" ht="150" x14ac:dyDescent="0.25">
      <c r="D8" s="304" t="s">
        <v>600</v>
      </c>
      <c r="E8" s="145" t="s">
        <v>206</v>
      </c>
      <c r="F8" s="24" t="s">
        <v>601</v>
      </c>
    </row>
    <row r="9" spans="4:6" ht="120" x14ac:dyDescent="0.25">
      <c r="D9" s="305"/>
      <c r="E9" s="145" t="s">
        <v>276</v>
      </c>
      <c r="F9" s="24" t="s">
        <v>602</v>
      </c>
    </row>
    <row r="10" spans="4:6" ht="120" x14ac:dyDescent="0.25">
      <c r="D10" s="305"/>
      <c r="E10" s="145" t="s">
        <v>341</v>
      </c>
      <c r="F10" s="24" t="s">
        <v>603</v>
      </c>
    </row>
    <row r="11" spans="4:6" ht="30" x14ac:dyDescent="0.25">
      <c r="D11" s="305"/>
      <c r="E11" s="145" t="s">
        <v>462</v>
      </c>
      <c r="F11" s="146" t="s">
        <v>604</v>
      </c>
    </row>
    <row r="12" spans="4:6" ht="45" x14ac:dyDescent="0.25">
      <c r="D12" s="305"/>
      <c r="E12" s="145" t="s">
        <v>538</v>
      </c>
      <c r="F12" s="24" t="s">
        <v>605</v>
      </c>
    </row>
    <row r="13" spans="4:6" ht="30" x14ac:dyDescent="0.25">
      <c r="D13" s="306" t="s">
        <v>606</v>
      </c>
      <c r="E13" s="145" t="s">
        <v>161</v>
      </c>
      <c r="F13" s="146" t="s">
        <v>604</v>
      </c>
    </row>
    <row r="14" spans="4:6" ht="150" x14ac:dyDescent="0.25">
      <c r="D14" s="307"/>
      <c r="E14" s="145" t="s">
        <v>184</v>
      </c>
      <c r="F14" s="24" t="s">
        <v>607</v>
      </c>
    </row>
    <row r="15" spans="4:6" ht="135" x14ac:dyDescent="0.25">
      <c r="D15" s="306" t="s">
        <v>608</v>
      </c>
      <c r="E15" s="145" t="s">
        <v>136</v>
      </c>
      <c r="F15" s="24" t="s">
        <v>609</v>
      </c>
    </row>
    <row r="16" spans="4:6" ht="135" x14ac:dyDescent="0.25">
      <c r="D16" s="307"/>
      <c r="E16" s="145" t="s">
        <v>175</v>
      </c>
      <c r="F16" s="24" t="s">
        <v>610</v>
      </c>
    </row>
    <row r="17" spans="4:7" ht="135" x14ac:dyDescent="0.25">
      <c r="D17" s="307"/>
      <c r="E17" s="145" t="s">
        <v>611</v>
      </c>
      <c r="F17" s="24" t="s">
        <v>610</v>
      </c>
    </row>
    <row r="18" spans="4:7" ht="45" x14ac:dyDescent="0.25">
      <c r="D18" s="307"/>
      <c r="E18" s="145" t="s">
        <v>232</v>
      </c>
      <c r="F18" s="146" t="s">
        <v>604</v>
      </c>
    </row>
    <row r="19" spans="4:7" ht="45" x14ac:dyDescent="0.25">
      <c r="D19" s="307"/>
      <c r="E19" s="145" t="s">
        <v>299</v>
      </c>
      <c r="F19" s="146" t="s">
        <v>604</v>
      </c>
    </row>
    <row r="20" spans="4:7" ht="30" x14ac:dyDescent="0.25">
      <c r="D20" s="307"/>
      <c r="E20" s="145" t="s">
        <v>382</v>
      </c>
      <c r="F20" s="146" t="s">
        <v>604</v>
      </c>
    </row>
    <row r="21" spans="4:7" ht="30" x14ac:dyDescent="0.25">
      <c r="D21" s="307"/>
      <c r="E21" s="145" t="s">
        <v>358</v>
      </c>
      <c r="F21" s="146" t="s">
        <v>604</v>
      </c>
    </row>
    <row r="22" spans="4:7" ht="45" x14ac:dyDescent="0.25">
      <c r="D22" s="306" t="s">
        <v>612</v>
      </c>
      <c r="E22" s="145" t="s">
        <v>63</v>
      </c>
      <c r="F22" s="146" t="s">
        <v>604</v>
      </c>
    </row>
    <row r="23" spans="4:7" ht="90" x14ac:dyDescent="0.25">
      <c r="D23" s="307"/>
      <c r="E23" s="145" t="s">
        <v>126</v>
      </c>
      <c r="F23" s="24" t="s">
        <v>613</v>
      </c>
    </row>
    <row r="24" spans="4:7" ht="30" x14ac:dyDescent="0.25">
      <c r="D24" s="307"/>
      <c r="E24" s="145" t="s">
        <v>53</v>
      </c>
      <c r="F24" s="146" t="s">
        <v>604</v>
      </c>
    </row>
    <row r="25" spans="4:7" ht="30" x14ac:dyDescent="0.25">
      <c r="D25" s="307"/>
      <c r="E25" s="145" t="s">
        <v>290</v>
      </c>
      <c r="F25" s="146" t="s">
        <v>604</v>
      </c>
    </row>
    <row r="26" spans="4:7" ht="180" x14ac:dyDescent="0.25">
      <c r="D26" s="307"/>
      <c r="E26" s="145" t="s">
        <v>38</v>
      </c>
      <c r="F26" s="24" t="s">
        <v>614</v>
      </c>
      <c r="G26" s="147">
        <f>9/21</f>
        <v>0.42857142857142855</v>
      </c>
    </row>
    <row r="27" spans="4:7" x14ac:dyDescent="0.25">
      <c r="F27" s="146" t="s">
        <v>615</v>
      </c>
      <c r="G27" s="147">
        <f>10/21</f>
        <v>0.47619047619047616</v>
      </c>
    </row>
    <row r="28" spans="4:7" x14ac:dyDescent="0.25">
      <c r="E28">
        <v>10</v>
      </c>
      <c r="G28" s="148">
        <f>G27+G26</f>
        <v>0.90476190476190466</v>
      </c>
    </row>
    <row r="29" spans="4:7" x14ac:dyDescent="0.25">
      <c r="E29">
        <v>9</v>
      </c>
    </row>
    <row r="30" spans="4:7" x14ac:dyDescent="0.25">
      <c r="E30">
        <v>2</v>
      </c>
    </row>
    <row r="31" spans="4:7" x14ac:dyDescent="0.25">
      <c r="E31">
        <f>SUM(E28:E30)</f>
        <v>21</v>
      </c>
    </row>
  </sheetData>
  <mergeCells count="4">
    <mergeCell ref="D8:D12"/>
    <mergeCell ref="D13:D14"/>
    <mergeCell ref="D15:D21"/>
    <mergeCell ref="D22:D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B1:AW105"/>
  <sheetViews>
    <sheetView showGridLines="0" view="pageBreakPreview" topLeftCell="B7" zoomScaleNormal="10" zoomScaleSheetLayoutView="100" workbookViewId="0">
      <pane xSplit="5" ySplit="3" topLeftCell="G96" activePane="bottomRight" state="frozen"/>
      <selection pane="topRight" activeCell="G7" sqref="G7"/>
      <selection pane="bottomLeft" activeCell="B10" sqref="B10"/>
      <selection pane="bottomRight" activeCell="E96" sqref="E96"/>
    </sheetView>
  </sheetViews>
  <sheetFormatPr baseColWidth="10" defaultColWidth="11.42578125" defaultRowHeight="12.75" x14ac:dyDescent="0.25"/>
  <cols>
    <col min="1" max="1" width="4.42578125" style="3" customWidth="1"/>
    <col min="2" max="2" width="22.85546875" style="3" customWidth="1"/>
    <col min="3" max="3" width="20.85546875" style="3" customWidth="1"/>
    <col min="4" max="4" width="39.7109375" style="7" customWidth="1"/>
    <col min="5" max="5" width="31" style="3" customWidth="1"/>
    <col min="6" max="6" width="26.140625" style="7" customWidth="1"/>
    <col min="7" max="7" width="30.85546875" style="7" customWidth="1"/>
    <col min="8" max="8" width="22.5703125" style="3" customWidth="1"/>
    <col min="9" max="10" width="15.85546875" style="3" customWidth="1"/>
    <col min="11" max="11" width="12.140625" style="3" customWidth="1"/>
    <col min="12" max="12" width="15.7109375" style="3" customWidth="1"/>
    <col min="13" max="14" width="15.85546875" style="7" customWidth="1"/>
    <col min="15" max="16" width="13.140625" style="3" customWidth="1"/>
    <col min="17" max="18" width="15" style="4" customWidth="1"/>
    <col min="19" max="19" width="15" style="4" hidden="1" customWidth="1"/>
    <col min="20" max="43" width="6.28515625" style="3" hidden="1" customWidth="1"/>
    <col min="44" max="44" width="6" style="3" hidden="1" customWidth="1"/>
    <col min="45" max="45" width="6.140625" style="3" hidden="1" customWidth="1"/>
    <col min="46" max="46" width="0" style="4" hidden="1" customWidth="1"/>
    <col min="47" max="47" width="12.42578125" style="3" hidden="1" customWidth="1"/>
    <col min="48" max="48" width="37.140625" style="3" customWidth="1"/>
    <col min="49" max="49" width="6.28515625" style="3" customWidth="1"/>
    <col min="50" max="16384" width="11.42578125" style="3"/>
  </cols>
  <sheetData>
    <row r="1" spans="2:48" ht="13.5" thickBot="1" x14ac:dyDescent="0.3"/>
    <row r="2" spans="2:48" s="57" customFormat="1" ht="18.75" customHeight="1" thickBot="1" x14ac:dyDescent="0.3">
      <c r="B2" s="312"/>
      <c r="C2" s="315" t="s">
        <v>616</v>
      </c>
      <c r="D2" s="316"/>
      <c r="E2" s="317"/>
      <c r="F2" s="324" t="s">
        <v>617</v>
      </c>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6"/>
      <c r="AJ2" s="337" t="s">
        <v>618</v>
      </c>
      <c r="AK2" s="338"/>
      <c r="AL2" s="338"/>
      <c r="AM2" s="338"/>
      <c r="AN2" s="338"/>
      <c r="AO2" s="338"/>
      <c r="AP2" s="338"/>
      <c r="AQ2" s="339"/>
      <c r="AR2" s="337" t="s">
        <v>619</v>
      </c>
      <c r="AS2" s="338"/>
      <c r="AT2" s="338"/>
      <c r="AU2" s="338"/>
      <c r="AV2" s="339"/>
    </row>
    <row r="3" spans="2:48" s="57" customFormat="1" ht="18.75" customHeight="1" thickBot="1" x14ac:dyDescent="0.3">
      <c r="B3" s="313"/>
      <c r="C3" s="318"/>
      <c r="D3" s="319"/>
      <c r="E3" s="320"/>
      <c r="F3" s="327"/>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9"/>
      <c r="AJ3" s="337" t="s">
        <v>620</v>
      </c>
      <c r="AK3" s="338"/>
      <c r="AL3" s="338"/>
      <c r="AM3" s="338"/>
      <c r="AN3" s="338"/>
      <c r="AO3" s="338"/>
      <c r="AP3" s="338"/>
      <c r="AQ3" s="339"/>
      <c r="AR3" s="337">
        <v>1</v>
      </c>
      <c r="AS3" s="338"/>
      <c r="AT3" s="338"/>
      <c r="AU3" s="338"/>
      <c r="AV3" s="339"/>
    </row>
    <row r="4" spans="2:48" s="57" customFormat="1" ht="18.75" customHeight="1" thickBot="1" x14ac:dyDescent="0.3">
      <c r="B4" s="313"/>
      <c r="C4" s="321"/>
      <c r="D4" s="322"/>
      <c r="E4" s="323"/>
      <c r="F4" s="330"/>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2"/>
      <c r="AJ4" s="337" t="s">
        <v>621</v>
      </c>
      <c r="AK4" s="338"/>
      <c r="AL4" s="338"/>
      <c r="AM4" s="338"/>
      <c r="AN4" s="338"/>
      <c r="AO4" s="338"/>
      <c r="AP4" s="338"/>
      <c r="AQ4" s="339"/>
      <c r="AR4" s="340">
        <v>43896</v>
      </c>
      <c r="AS4" s="341"/>
      <c r="AT4" s="341"/>
      <c r="AU4" s="341"/>
      <c r="AV4" s="342"/>
    </row>
    <row r="5" spans="2:48" s="57" customFormat="1" ht="15" customHeight="1" x14ac:dyDescent="0.25">
      <c r="B5" s="313"/>
      <c r="C5" s="315" t="s">
        <v>622</v>
      </c>
      <c r="D5" s="316"/>
      <c r="E5" s="317"/>
      <c r="F5" s="324" t="s">
        <v>623</v>
      </c>
      <c r="G5" s="325"/>
      <c r="H5" s="325"/>
      <c r="I5" s="325"/>
      <c r="J5" s="325"/>
      <c r="K5" s="325"/>
      <c r="L5" s="325"/>
      <c r="M5" s="325"/>
      <c r="N5" s="325"/>
      <c r="O5" s="325"/>
      <c r="P5" s="325"/>
      <c r="Q5" s="325"/>
      <c r="R5" s="325"/>
      <c r="S5" s="325"/>
      <c r="T5" s="325"/>
      <c r="U5" s="325"/>
      <c r="V5" s="325"/>
      <c r="W5" s="325"/>
      <c r="X5" s="325"/>
      <c r="Y5" s="325"/>
      <c r="Z5" s="325"/>
      <c r="AA5" s="325"/>
      <c r="AB5" s="325"/>
      <c r="AC5" s="325"/>
      <c r="AD5" s="325"/>
      <c r="AE5" s="325"/>
      <c r="AF5" s="325"/>
      <c r="AG5" s="325"/>
      <c r="AH5" s="325"/>
      <c r="AI5" s="326"/>
      <c r="AJ5" s="315" t="s">
        <v>624</v>
      </c>
      <c r="AK5" s="316"/>
      <c r="AL5" s="316"/>
      <c r="AM5" s="316"/>
      <c r="AN5" s="316"/>
      <c r="AO5" s="316"/>
      <c r="AP5" s="316"/>
      <c r="AQ5" s="317"/>
      <c r="AR5" s="343" t="s">
        <v>625</v>
      </c>
      <c r="AS5" s="344"/>
      <c r="AT5" s="344"/>
      <c r="AU5" s="344"/>
      <c r="AV5" s="345"/>
    </row>
    <row r="6" spans="2:48" s="57" customFormat="1" ht="15.75" customHeight="1" thickBot="1" x14ac:dyDescent="0.3">
      <c r="B6" s="314"/>
      <c r="C6" s="321"/>
      <c r="D6" s="322"/>
      <c r="E6" s="323"/>
      <c r="F6" s="330"/>
      <c r="G6" s="331"/>
      <c r="H6" s="331"/>
      <c r="I6" s="331"/>
      <c r="J6" s="331"/>
      <c r="K6" s="331"/>
      <c r="L6" s="331"/>
      <c r="M6" s="331"/>
      <c r="N6" s="331"/>
      <c r="O6" s="331"/>
      <c r="P6" s="331"/>
      <c r="Q6" s="331"/>
      <c r="R6" s="331"/>
      <c r="S6" s="331"/>
      <c r="T6" s="331"/>
      <c r="U6" s="331"/>
      <c r="V6" s="331"/>
      <c r="W6" s="331"/>
      <c r="X6" s="331"/>
      <c r="Y6" s="331"/>
      <c r="Z6" s="331"/>
      <c r="AA6" s="331"/>
      <c r="AB6" s="331"/>
      <c r="AC6" s="331"/>
      <c r="AD6" s="331"/>
      <c r="AE6" s="331"/>
      <c r="AF6" s="331"/>
      <c r="AG6" s="331"/>
      <c r="AH6" s="331"/>
      <c r="AI6" s="332"/>
      <c r="AJ6" s="321"/>
      <c r="AK6" s="322"/>
      <c r="AL6" s="322"/>
      <c r="AM6" s="322"/>
      <c r="AN6" s="322"/>
      <c r="AO6" s="322"/>
      <c r="AP6" s="322"/>
      <c r="AQ6" s="323"/>
      <c r="AR6" s="346"/>
      <c r="AS6" s="347"/>
      <c r="AT6" s="347"/>
      <c r="AU6" s="347"/>
      <c r="AV6" s="348"/>
    </row>
    <row r="7" spans="2:48" ht="13.5" thickBot="1" x14ac:dyDescent="0.3"/>
    <row r="8" spans="2:48" ht="15" customHeight="1" x14ac:dyDescent="0.25">
      <c r="B8" s="335" t="s">
        <v>626</v>
      </c>
      <c r="C8" s="310" t="s">
        <v>4</v>
      </c>
      <c r="D8" s="310" t="s">
        <v>627</v>
      </c>
      <c r="E8" s="310" t="s">
        <v>628</v>
      </c>
      <c r="F8" s="310" t="s">
        <v>6</v>
      </c>
      <c r="G8" s="308" t="s">
        <v>7</v>
      </c>
      <c r="H8" s="310" t="s">
        <v>8</v>
      </c>
      <c r="I8" s="333" t="s">
        <v>9</v>
      </c>
      <c r="J8" s="310" t="s">
        <v>10</v>
      </c>
      <c r="K8" s="310" t="s">
        <v>629</v>
      </c>
      <c r="L8" s="310" t="s">
        <v>12</v>
      </c>
      <c r="M8" s="310" t="s">
        <v>13</v>
      </c>
      <c r="N8" s="310"/>
      <c r="O8" s="310"/>
      <c r="P8" s="310"/>
      <c r="Q8" s="310" t="s">
        <v>14</v>
      </c>
      <c r="R8" s="310" t="s">
        <v>15</v>
      </c>
      <c r="S8" s="310" t="s">
        <v>630</v>
      </c>
      <c r="T8" s="310" t="s">
        <v>17</v>
      </c>
      <c r="U8" s="310"/>
      <c r="V8" s="310" t="s">
        <v>18</v>
      </c>
      <c r="W8" s="310"/>
      <c r="X8" s="310" t="s">
        <v>19</v>
      </c>
      <c r="Y8" s="310"/>
      <c r="Z8" s="310" t="s">
        <v>20</v>
      </c>
      <c r="AA8" s="310"/>
      <c r="AB8" s="310" t="s">
        <v>21</v>
      </c>
      <c r="AC8" s="310"/>
      <c r="AD8" s="310" t="s">
        <v>22</v>
      </c>
      <c r="AE8" s="310"/>
      <c r="AF8" s="310" t="s">
        <v>23</v>
      </c>
      <c r="AG8" s="310"/>
      <c r="AH8" s="310" t="s">
        <v>24</v>
      </c>
      <c r="AI8" s="310"/>
      <c r="AJ8" s="310" t="s">
        <v>25</v>
      </c>
      <c r="AK8" s="310"/>
      <c r="AL8" s="310" t="s">
        <v>26</v>
      </c>
      <c r="AM8" s="310"/>
      <c r="AN8" s="310" t="s">
        <v>27</v>
      </c>
      <c r="AO8" s="310"/>
      <c r="AP8" s="310" t="s">
        <v>28</v>
      </c>
      <c r="AQ8" s="310"/>
      <c r="AR8" s="310" t="s">
        <v>631</v>
      </c>
      <c r="AS8" s="310"/>
      <c r="AT8" s="310" t="s">
        <v>632</v>
      </c>
      <c r="AU8" s="310" t="s">
        <v>633</v>
      </c>
      <c r="AV8" s="352" t="s">
        <v>634</v>
      </c>
    </row>
    <row r="9" spans="2:48" x14ac:dyDescent="0.25">
      <c r="B9" s="336"/>
      <c r="C9" s="311"/>
      <c r="D9" s="311"/>
      <c r="E9" s="311"/>
      <c r="F9" s="311"/>
      <c r="G9" s="309"/>
      <c r="H9" s="311"/>
      <c r="I9" s="334"/>
      <c r="J9" s="311"/>
      <c r="K9" s="311"/>
      <c r="L9" s="311"/>
      <c r="M9" s="84" t="s">
        <v>71</v>
      </c>
      <c r="N9" s="84" t="s">
        <v>635</v>
      </c>
      <c r="O9" s="84" t="s">
        <v>636</v>
      </c>
      <c r="P9" s="84" t="s">
        <v>637</v>
      </c>
      <c r="Q9" s="311"/>
      <c r="R9" s="311"/>
      <c r="S9" s="311"/>
      <c r="T9" s="84" t="s">
        <v>638</v>
      </c>
      <c r="U9" s="84" t="s">
        <v>639</v>
      </c>
      <c r="V9" s="84" t="s">
        <v>638</v>
      </c>
      <c r="W9" s="84" t="s">
        <v>639</v>
      </c>
      <c r="X9" s="84" t="s">
        <v>638</v>
      </c>
      <c r="Y9" s="84" t="s">
        <v>639</v>
      </c>
      <c r="Z9" s="84" t="s">
        <v>638</v>
      </c>
      <c r="AA9" s="84" t="s">
        <v>639</v>
      </c>
      <c r="AB9" s="84" t="s">
        <v>638</v>
      </c>
      <c r="AC9" s="84" t="s">
        <v>639</v>
      </c>
      <c r="AD9" s="84" t="s">
        <v>638</v>
      </c>
      <c r="AE9" s="84" t="s">
        <v>639</v>
      </c>
      <c r="AF9" s="84" t="s">
        <v>638</v>
      </c>
      <c r="AG9" s="84" t="s">
        <v>639</v>
      </c>
      <c r="AH9" s="84" t="s">
        <v>638</v>
      </c>
      <c r="AI9" s="84" t="s">
        <v>639</v>
      </c>
      <c r="AJ9" s="84" t="s">
        <v>638</v>
      </c>
      <c r="AK9" s="84" t="s">
        <v>639</v>
      </c>
      <c r="AL9" s="84" t="s">
        <v>638</v>
      </c>
      <c r="AM9" s="84" t="s">
        <v>639</v>
      </c>
      <c r="AN9" s="84" t="s">
        <v>638</v>
      </c>
      <c r="AO9" s="84" t="s">
        <v>639</v>
      </c>
      <c r="AP9" s="84" t="s">
        <v>638</v>
      </c>
      <c r="AQ9" s="84" t="s">
        <v>639</v>
      </c>
      <c r="AR9" s="84" t="s">
        <v>638</v>
      </c>
      <c r="AS9" s="84" t="s">
        <v>639</v>
      </c>
      <c r="AT9" s="311"/>
      <c r="AU9" s="311"/>
      <c r="AV9" s="353"/>
    </row>
    <row r="10" spans="2:48" ht="76.5" hidden="1" customHeight="1" x14ac:dyDescent="0.25">
      <c r="B10" s="34">
        <v>1</v>
      </c>
      <c r="C10" s="2" t="s">
        <v>640</v>
      </c>
      <c r="D10" s="6" t="s">
        <v>641</v>
      </c>
      <c r="E10" s="2" t="s">
        <v>642</v>
      </c>
      <c r="F10" s="6" t="s">
        <v>643</v>
      </c>
      <c r="G10" s="6" t="s">
        <v>66</v>
      </c>
      <c r="H10" s="1" t="s">
        <v>67</v>
      </c>
      <c r="I10" s="2" t="s">
        <v>42</v>
      </c>
      <c r="J10" s="2" t="s">
        <v>113</v>
      </c>
      <c r="K10" s="2" t="s">
        <v>44</v>
      </c>
      <c r="L10" s="2" t="s">
        <v>69</v>
      </c>
      <c r="M10" s="6" t="s">
        <v>70</v>
      </c>
      <c r="N10" s="6" t="s">
        <v>644</v>
      </c>
      <c r="O10" s="2"/>
      <c r="P10" s="2"/>
      <c r="Q10" s="5" t="s">
        <v>86</v>
      </c>
      <c r="R10" s="5" t="s">
        <v>72</v>
      </c>
      <c r="S10" s="43">
        <v>1</v>
      </c>
      <c r="T10" s="2"/>
      <c r="U10" s="2"/>
      <c r="V10" s="2"/>
      <c r="W10" s="2"/>
      <c r="X10" s="2">
        <v>100</v>
      </c>
      <c r="Y10" s="2">
        <v>100</v>
      </c>
      <c r="Z10" s="2"/>
      <c r="AA10" s="2"/>
      <c r="AB10" s="2"/>
      <c r="AC10" s="2"/>
      <c r="AD10" s="2">
        <v>43</v>
      </c>
      <c r="AE10" s="2">
        <v>43</v>
      </c>
      <c r="AF10" s="2"/>
      <c r="AG10" s="2"/>
      <c r="AH10" s="2"/>
      <c r="AI10" s="2"/>
      <c r="AJ10" s="2">
        <v>120</v>
      </c>
      <c r="AK10" s="2"/>
      <c r="AL10" s="2"/>
      <c r="AM10" s="2"/>
      <c r="AN10" s="2"/>
      <c r="AO10" s="2"/>
      <c r="AP10" s="2">
        <v>140</v>
      </c>
      <c r="AQ10" s="2"/>
      <c r="AR10" s="22">
        <f>+T10+V10+X10+Z10+AB10+AD10+AF10+AH10+AJ10+AL10+AN10+AP10</f>
        <v>403</v>
      </c>
      <c r="AS10" s="22">
        <f>+U10+W10+Y10+AA10+AC10+AE10+AG10+AI10+AK10+AM10+AO10+AQ10</f>
        <v>143</v>
      </c>
      <c r="AT10" s="19">
        <f>+AS10/AR10</f>
        <v>0.35483870967741937</v>
      </c>
      <c r="AU10" s="23" t="s">
        <v>645</v>
      </c>
      <c r="AV10" s="29"/>
    </row>
    <row r="11" spans="2:48" ht="76.5" hidden="1" customHeight="1" x14ac:dyDescent="0.25">
      <c r="B11" s="34">
        <v>2</v>
      </c>
      <c r="C11" s="2" t="s">
        <v>640</v>
      </c>
      <c r="D11" s="6" t="s">
        <v>641</v>
      </c>
      <c r="E11" s="2" t="s">
        <v>646</v>
      </c>
      <c r="F11" s="6" t="s">
        <v>76</v>
      </c>
      <c r="G11" s="6" t="s">
        <v>77</v>
      </c>
      <c r="H11" s="1" t="s">
        <v>67</v>
      </c>
      <c r="I11" s="2" t="s">
        <v>42</v>
      </c>
      <c r="J11" s="2" t="s">
        <v>113</v>
      </c>
      <c r="K11" s="2" t="s">
        <v>44</v>
      </c>
      <c r="L11" s="2" t="s">
        <v>69</v>
      </c>
      <c r="M11" s="6" t="s">
        <v>78</v>
      </c>
      <c r="N11" s="6" t="s">
        <v>647</v>
      </c>
      <c r="O11" s="2"/>
      <c r="P11" s="2"/>
      <c r="Q11" s="5" t="s">
        <v>86</v>
      </c>
      <c r="R11" s="5" t="s">
        <v>72</v>
      </c>
      <c r="S11" s="43">
        <v>1</v>
      </c>
      <c r="T11" s="2"/>
      <c r="U11" s="2"/>
      <c r="V11" s="2"/>
      <c r="W11" s="2"/>
      <c r="X11" s="2">
        <v>60</v>
      </c>
      <c r="Y11" s="2">
        <v>57</v>
      </c>
      <c r="Z11" s="2"/>
      <c r="AA11" s="2"/>
      <c r="AB11" s="2"/>
      <c r="AC11" s="2"/>
      <c r="AD11" s="2">
        <v>10</v>
      </c>
      <c r="AE11" s="2">
        <v>5</v>
      </c>
      <c r="AF11" s="2"/>
      <c r="AG11" s="2"/>
      <c r="AH11" s="2"/>
      <c r="AI11" s="2"/>
      <c r="AJ11" s="2">
        <v>25</v>
      </c>
      <c r="AK11" s="2"/>
      <c r="AL11" s="2"/>
      <c r="AM11" s="2"/>
      <c r="AN11" s="2"/>
      <c r="AO11" s="2"/>
      <c r="AP11" s="2">
        <v>25</v>
      </c>
      <c r="AQ11" s="2"/>
      <c r="AR11" s="22">
        <f t="shared" ref="AR11:AS72" si="0">+T11+V11+X11+Z11+AB11+AD11+AF11+AH11+AJ11+AL11+AN11+AP11</f>
        <v>120</v>
      </c>
      <c r="AS11" s="22">
        <f t="shared" si="0"/>
        <v>62</v>
      </c>
      <c r="AT11" s="19">
        <f>+AS11/AR11</f>
        <v>0.51666666666666672</v>
      </c>
      <c r="AU11" s="59" t="s">
        <v>648</v>
      </c>
      <c r="AV11" s="29"/>
    </row>
    <row r="12" spans="2:48" ht="76.5" hidden="1" customHeight="1" x14ac:dyDescent="0.25">
      <c r="B12" s="34">
        <v>3</v>
      </c>
      <c r="C12" s="2" t="s">
        <v>640</v>
      </c>
      <c r="D12" s="6" t="s">
        <v>649</v>
      </c>
      <c r="E12" s="5" t="s">
        <v>650</v>
      </c>
      <c r="F12" s="5" t="s">
        <v>651</v>
      </c>
      <c r="G12" s="58" t="s">
        <v>652</v>
      </c>
      <c r="H12" s="5" t="s">
        <v>67</v>
      </c>
      <c r="I12" s="2" t="s">
        <v>42</v>
      </c>
      <c r="J12" s="2" t="s">
        <v>113</v>
      </c>
      <c r="K12" s="2" t="s">
        <v>44</v>
      </c>
      <c r="L12" s="2" t="s">
        <v>69</v>
      </c>
      <c r="M12" s="6" t="s">
        <v>653</v>
      </c>
      <c r="N12" s="6" t="s">
        <v>654</v>
      </c>
      <c r="O12" s="2"/>
      <c r="P12" s="2"/>
      <c r="Q12" s="5" t="s">
        <v>86</v>
      </c>
      <c r="R12" s="5" t="s">
        <v>72</v>
      </c>
      <c r="S12" s="43">
        <v>1</v>
      </c>
      <c r="T12" s="2"/>
      <c r="U12" s="2"/>
      <c r="V12" s="2"/>
      <c r="W12" s="2"/>
      <c r="X12" s="2">
        <v>107846</v>
      </c>
      <c r="Y12" s="2">
        <v>107846</v>
      </c>
      <c r="Z12" s="2"/>
      <c r="AA12" s="2"/>
      <c r="AB12" s="2"/>
      <c r="AC12" s="2"/>
      <c r="AD12" s="2">
        <v>11320</v>
      </c>
      <c r="AE12" s="2">
        <v>11320</v>
      </c>
      <c r="AF12" s="2"/>
      <c r="AG12" s="2"/>
      <c r="AH12" s="2"/>
      <c r="AI12" s="2"/>
      <c r="AJ12" s="2"/>
      <c r="AK12" s="2"/>
      <c r="AL12" s="2"/>
      <c r="AM12" s="2"/>
      <c r="AN12" s="2"/>
      <c r="AO12" s="2"/>
      <c r="AP12" s="2"/>
      <c r="AQ12" s="2"/>
      <c r="AR12" s="22">
        <f t="shared" si="0"/>
        <v>119166</v>
      </c>
      <c r="AS12" s="22">
        <f t="shared" si="0"/>
        <v>119166</v>
      </c>
      <c r="AT12" s="19">
        <f>+(AS12*50%)/AR12</f>
        <v>0.5</v>
      </c>
      <c r="AU12" s="23" t="s">
        <v>645</v>
      </c>
      <c r="AV12" s="29"/>
    </row>
    <row r="13" spans="2:48" ht="76.5" hidden="1" customHeight="1" x14ac:dyDescent="0.25">
      <c r="B13" s="34">
        <v>4</v>
      </c>
      <c r="C13" s="2" t="s">
        <v>640</v>
      </c>
      <c r="D13" s="6" t="s">
        <v>649</v>
      </c>
      <c r="E13" s="2" t="s">
        <v>642</v>
      </c>
      <c r="F13" s="6" t="s">
        <v>655</v>
      </c>
      <c r="G13" s="6" t="s">
        <v>656</v>
      </c>
      <c r="H13" s="1" t="s">
        <v>67</v>
      </c>
      <c r="I13" s="2" t="s">
        <v>42</v>
      </c>
      <c r="J13" s="2" t="s">
        <v>113</v>
      </c>
      <c r="K13" s="2" t="s">
        <v>44</v>
      </c>
      <c r="L13" s="2" t="s">
        <v>69</v>
      </c>
      <c r="M13" s="6" t="s">
        <v>657</v>
      </c>
      <c r="N13" s="6" t="s">
        <v>658</v>
      </c>
      <c r="O13" s="2"/>
      <c r="P13" s="2"/>
      <c r="Q13" s="5" t="s">
        <v>86</v>
      </c>
      <c r="R13" s="5" t="s">
        <v>72</v>
      </c>
      <c r="S13" s="43">
        <v>1</v>
      </c>
      <c r="T13" s="2"/>
      <c r="U13" s="2"/>
      <c r="V13" s="2"/>
      <c r="W13" s="2"/>
      <c r="X13" s="2">
        <v>60</v>
      </c>
      <c r="Y13" s="2">
        <v>60</v>
      </c>
      <c r="Z13" s="2"/>
      <c r="AA13" s="2"/>
      <c r="AB13" s="2"/>
      <c r="AC13" s="2"/>
      <c r="AD13" s="2">
        <v>40</v>
      </c>
      <c r="AE13" s="2">
        <v>52</v>
      </c>
      <c r="AF13" s="2"/>
      <c r="AG13" s="2"/>
      <c r="AH13" s="2"/>
      <c r="AI13" s="2"/>
      <c r="AJ13" s="2">
        <v>180</v>
      </c>
      <c r="AK13" s="2"/>
      <c r="AL13" s="2"/>
      <c r="AM13" s="2"/>
      <c r="AN13" s="2"/>
      <c r="AO13" s="2"/>
      <c r="AP13" s="2">
        <v>120</v>
      </c>
      <c r="AQ13" s="2"/>
      <c r="AR13" s="22">
        <f t="shared" si="0"/>
        <v>400</v>
      </c>
      <c r="AS13" s="22">
        <f t="shared" si="0"/>
        <v>112</v>
      </c>
      <c r="AT13" s="19">
        <f t="shared" ref="AT13:AT24" si="1">+AS13/AR13</f>
        <v>0.28000000000000003</v>
      </c>
      <c r="AU13" s="23" t="s">
        <v>645</v>
      </c>
      <c r="AV13" s="29"/>
    </row>
    <row r="14" spans="2:48" ht="104.25" hidden="1" customHeight="1" x14ac:dyDescent="0.25">
      <c r="B14" s="34">
        <v>5</v>
      </c>
      <c r="C14" s="2" t="s">
        <v>640</v>
      </c>
      <c r="D14" s="6" t="s">
        <v>649</v>
      </c>
      <c r="E14" s="2" t="s">
        <v>659</v>
      </c>
      <c r="F14" s="6" t="s">
        <v>117</v>
      </c>
      <c r="G14" s="6" t="s">
        <v>118</v>
      </c>
      <c r="H14" s="1" t="s">
        <v>67</v>
      </c>
      <c r="I14" s="2" t="s">
        <v>42</v>
      </c>
      <c r="J14" s="2" t="s">
        <v>113</v>
      </c>
      <c r="K14" s="2" t="s">
        <v>44</v>
      </c>
      <c r="L14" s="2" t="s">
        <v>69</v>
      </c>
      <c r="M14" s="6" t="s">
        <v>119</v>
      </c>
      <c r="N14" s="6" t="s">
        <v>120</v>
      </c>
      <c r="O14" s="2"/>
      <c r="P14" s="2"/>
      <c r="Q14" s="5" t="s">
        <v>86</v>
      </c>
      <c r="R14" s="5" t="s">
        <v>72</v>
      </c>
      <c r="S14" s="43">
        <v>1</v>
      </c>
      <c r="T14" s="2"/>
      <c r="U14" s="2"/>
      <c r="V14" s="2"/>
      <c r="W14" s="2"/>
      <c r="X14" s="2">
        <v>27</v>
      </c>
      <c r="Y14" s="2">
        <v>43</v>
      </c>
      <c r="Z14" s="2"/>
      <c r="AA14" s="2"/>
      <c r="AB14" s="2"/>
      <c r="AC14" s="2"/>
      <c r="AD14" s="2">
        <v>27</v>
      </c>
      <c r="AE14" s="2">
        <v>45</v>
      </c>
      <c r="AF14" s="2"/>
      <c r="AG14" s="2"/>
      <c r="AH14" s="2"/>
      <c r="AI14" s="2"/>
      <c r="AJ14" s="2">
        <v>72</v>
      </c>
      <c r="AK14" s="2"/>
      <c r="AL14" s="2"/>
      <c r="AM14" s="2"/>
      <c r="AN14" s="2"/>
      <c r="AO14" s="2"/>
      <c r="AP14" s="2">
        <v>54</v>
      </c>
      <c r="AQ14" s="2"/>
      <c r="AR14" s="22">
        <f t="shared" si="0"/>
        <v>180</v>
      </c>
      <c r="AS14" s="22">
        <f t="shared" si="0"/>
        <v>88</v>
      </c>
      <c r="AT14" s="19">
        <f t="shared" si="1"/>
        <v>0.48888888888888887</v>
      </c>
      <c r="AU14" s="23" t="s">
        <v>645</v>
      </c>
      <c r="AV14" s="29"/>
    </row>
    <row r="15" spans="2:48" ht="76.5" hidden="1" customHeight="1" x14ac:dyDescent="0.25">
      <c r="B15" s="34">
        <v>6</v>
      </c>
      <c r="C15" s="2" t="s">
        <v>640</v>
      </c>
      <c r="D15" s="6" t="s">
        <v>649</v>
      </c>
      <c r="E15" s="2" t="s">
        <v>642</v>
      </c>
      <c r="F15" s="6" t="s">
        <v>122</v>
      </c>
      <c r="G15" s="6" t="s">
        <v>123</v>
      </c>
      <c r="H15" s="1" t="s">
        <v>67</v>
      </c>
      <c r="I15" s="2" t="s">
        <v>42</v>
      </c>
      <c r="J15" s="2" t="s">
        <v>113</v>
      </c>
      <c r="K15" s="2" t="s">
        <v>44</v>
      </c>
      <c r="L15" s="2" t="s">
        <v>69</v>
      </c>
      <c r="M15" s="6" t="s">
        <v>124</v>
      </c>
      <c r="N15" s="6" t="s">
        <v>125</v>
      </c>
      <c r="O15" s="2"/>
      <c r="P15" s="2"/>
      <c r="Q15" s="5" t="s">
        <v>86</v>
      </c>
      <c r="R15" s="5"/>
      <c r="S15" s="43">
        <v>1</v>
      </c>
      <c r="T15" s="2"/>
      <c r="U15" s="2"/>
      <c r="V15" s="2"/>
      <c r="W15" s="2"/>
      <c r="X15" s="2">
        <v>111</v>
      </c>
      <c r="Y15" s="2">
        <v>119</v>
      </c>
      <c r="Z15" s="2"/>
      <c r="AA15" s="2"/>
      <c r="AB15" s="2"/>
      <c r="AC15" s="2"/>
      <c r="AD15" s="2">
        <v>30</v>
      </c>
      <c r="AE15" s="2">
        <v>29</v>
      </c>
      <c r="AF15" s="2"/>
      <c r="AG15" s="2"/>
      <c r="AH15" s="2"/>
      <c r="AI15" s="2"/>
      <c r="AJ15" s="2">
        <v>50</v>
      </c>
      <c r="AK15" s="2"/>
      <c r="AL15" s="2"/>
      <c r="AM15" s="2"/>
      <c r="AN15" s="2"/>
      <c r="AO15" s="2"/>
      <c r="AP15" s="2">
        <v>50</v>
      </c>
      <c r="AQ15" s="2"/>
      <c r="AR15" s="22">
        <f t="shared" si="0"/>
        <v>241</v>
      </c>
      <c r="AS15" s="22">
        <f t="shared" si="0"/>
        <v>148</v>
      </c>
      <c r="AT15" s="50">
        <f t="shared" si="1"/>
        <v>0.61410788381742742</v>
      </c>
      <c r="AU15" s="59" t="s">
        <v>648</v>
      </c>
      <c r="AV15" s="29" t="s">
        <v>660</v>
      </c>
    </row>
    <row r="16" spans="2:48" ht="76.5" hidden="1" customHeight="1" x14ac:dyDescent="0.25">
      <c r="B16" s="34">
        <v>7</v>
      </c>
      <c r="C16" s="2" t="s">
        <v>640</v>
      </c>
      <c r="D16" s="6" t="s">
        <v>649</v>
      </c>
      <c r="E16" s="2" t="s">
        <v>659</v>
      </c>
      <c r="F16" s="6" t="s">
        <v>111</v>
      </c>
      <c r="G16" s="6" t="s">
        <v>112</v>
      </c>
      <c r="H16" s="1" t="s">
        <v>67</v>
      </c>
      <c r="I16" s="2" t="s">
        <v>42</v>
      </c>
      <c r="J16" s="2" t="s">
        <v>113</v>
      </c>
      <c r="K16" s="2" t="s">
        <v>44</v>
      </c>
      <c r="L16" s="2" t="s">
        <v>69</v>
      </c>
      <c r="M16" s="6" t="s">
        <v>114</v>
      </c>
      <c r="N16" s="6" t="s">
        <v>115</v>
      </c>
      <c r="O16" s="2"/>
      <c r="P16" s="2"/>
      <c r="Q16" s="5" t="s">
        <v>86</v>
      </c>
      <c r="R16" s="5"/>
      <c r="S16" s="43">
        <v>1</v>
      </c>
      <c r="T16" s="2"/>
      <c r="U16" s="2"/>
      <c r="V16" s="2"/>
      <c r="W16" s="2"/>
      <c r="X16" s="2">
        <v>346</v>
      </c>
      <c r="Y16" s="2">
        <v>346</v>
      </c>
      <c r="Z16" s="2"/>
      <c r="AA16" s="2"/>
      <c r="AB16" s="2"/>
      <c r="AC16" s="2"/>
      <c r="AD16" s="2">
        <v>102</v>
      </c>
      <c r="AE16" s="2">
        <v>70</v>
      </c>
      <c r="AF16" s="2"/>
      <c r="AG16" s="2"/>
      <c r="AH16" s="2"/>
      <c r="AI16" s="2"/>
      <c r="AJ16" s="2">
        <v>160</v>
      </c>
      <c r="AK16" s="2"/>
      <c r="AL16" s="2"/>
      <c r="AM16" s="2"/>
      <c r="AN16" s="2"/>
      <c r="AO16" s="2"/>
      <c r="AP16" s="2">
        <v>160</v>
      </c>
      <c r="AQ16" s="2"/>
      <c r="AR16" s="22">
        <f t="shared" si="0"/>
        <v>768</v>
      </c>
      <c r="AS16" s="22">
        <f t="shared" si="0"/>
        <v>416</v>
      </c>
      <c r="AT16" s="50">
        <f t="shared" si="1"/>
        <v>0.54166666666666663</v>
      </c>
      <c r="AU16" s="59" t="s">
        <v>648</v>
      </c>
      <c r="AV16" s="29"/>
    </row>
    <row r="17" spans="2:48" ht="76.5" hidden="1" customHeight="1" x14ac:dyDescent="0.25">
      <c r="B17" s="34">
        <v>8</v>
      </c>
      <c r="C17" s="2" t="s">
        <v>640</v>
      </c>
      <c r="D17" s="6" t="s">
        <v>649</v>
      </c>
      <c r="E17" s="2" t="s">
        <v>646</v>
      </c>
      <c r="F17" s="6" t="s">
        <v>100</v>
      </c>
      <c r="G17" s="6" t="s">
        <v>101</v>
      </c>
      <c r="H17" s="1" t="s">
        <v>67</v>
      </c>
      <c r="I17" s="2" t="s">
        <v>83</v>
      </c>
      <c r="J17" s="2" t="s">
        <v>113</v>
      </c>
      <c r="K17" s="2" t="s">
        <v>44</v>
      </c>
      <c r="L17" s="2" t="s">
        <v>661</v>
      </c>
      <c r="M17" s="6" t="s">
        <v>103</v>
      </c>
      <c r="N17" s="6" t="s">
        <v>104</v>
      </c>
      <c r="O17" s="2"/>
      <c r="P17" s="2"/>
      <c r="Q17" s="5" t="s">
        <v>86</v>
      </c>
      <c r="R17" s="5" t="s">
        <v>72</v>
      </c>
      <c r="S17" s="43">
        <v>0.7</v>
      </c>
      <c r="T17" s="2"/>
      <c r="U17" s="2"/>
      <c r="V17" s="2"/>
      <c r="W17" s="2"/>
      <c r="X17" s="2"/>
      <c r="Y17" s="2"/>
      <c r="Z17" s="2"/>
      <c r="AA17" s="2"/>
      <c r="AB17" s="2"/>
      <c r="AC17" s="2"/>
      <c r="AD17" s="2"/>
      <c r="AE17" s="2"/>
      <c r="AF17" s="2"/>
      <c r="AG17" s="2"/>
      <c r="AH17" s="2"/>
      <c r="AI17" s="2"/>
      <c r="AJ17" s="2"/>
      <c r="AK17" s="2"/>
      <c r="AL17" s="2"/>
      <c r="AM17" s="2"/>
      <c r="AN17" s="2"/>
      <c r="AO17" s="2"/>
      <c r="AP17" s="2"/>
      <c r="AQ17" s="2"/>
      <c r="AR17" s="22">
        <f t="shared" si="0"/>
        <v>0</v>
      </c>
      <c r="AS17" s="22">
        <f t="shared" si="0"/>
        <v>0</v>
      </c>
      <c r="AT17" s="19" t="e">
        <f t="shared" si="1"/>
        <v>#DIV/0!</v>
      </c>
      <c r="AU17" s="2"/>
      <c r="AV17" s="29" t="s">
        <v>662</v>
      </c>
    </row>
    <row r="18" spans="2:48" ht="93.75" hidden="1" customHeight="1" x14ac:dyDescent="0.25">
      <c r="B18" s="34">
        <v>9</v>
      </c>
      <c r="C18" s="2" t="s">
        <v>663</v>
      </c>
      <c r="D18" s="6" t="s">
        <v>664</v>
      </c>
      <c r="E18" s="2" t="s">
        <v>665</v>
      </c>
      <c r="F18" s="6" t="s">
        <v>138</v>
      </c>
      <c r="G18" s="6" t="s">
        <v>139</v>
      </c>
      <c r="H18" s="1" t="s">
        <v>140</v>
      </c>
      <c r="I18" s="2" t="s">
        <v>141</v>
      </c>
      <c r="J18" s="2" t="s">
        <v>369</v>
      </c>
      <c r="K18" s="2" t="s">
        <v>44</v>
      </c>
      <c r="L18" s="2" t="s">
        <v>142</v>
      </c>
      <c r="M18" s="6" t="s">
        <v>143</v>
      </c>
      <c r="N18" s="6" t="s">
        <v>144</v>
      </c>
      <c r="O18" s="2"/>
      <c r="P18" s="2"/>
      <c r="Q18" s="5" t="s">
        <v>86</v>
      </c>
      <c r="R18" s="5" t="s">
        <v>72</v>
      </c>
      <c r="S18" s="43">
        <v>1</v>
      </c>
      <c r="T18" s="2">
        <v>294</v>
      </c>
      <c r="U18" s="2">
        <v>291</v>
      </c>
      <c r="V18" s="2">
        <v>686</v>
      </c>
      <c r="W18" s="2">
        <v>679</v>
      </c>
      <c r="X18" s="2">
        <v>414</v>
      </c>
      <c r="Y18" s="2">
        <v>394</v>
      </c>
      <c r="Z18" s="2">
        <v>784</v>
      </c>
      <c r="AA18" s="2">
        <v>784</v>
      </c>
      <c r="AB18" s="2">
        <v>425</v>
      </c>
      <c r="AC18" s="2">
        <v>425</v>
      </c>
      <c r="AD18" s="2">
        <v>868</v>
      </c>
      <c r="AE18" s="2">
        <v>818</v>
      </c>
      <c r="AF18" s="2"/>
      <c r="AG18" s="2"/>
      <c r="AH18" s="2"/>
      <c r="AI18" s="2"/>
      <c r="AJ18" s="2"/>
      <c r="AK18" s="2"/>
      <c r="AL18" s="2"/>
      <c r="AM18" s="2"/>
      <c r="AN18" s="2"/>
      <c r="AO18" s="2"/>
      <c r="AP18" s="2"/>
      <c r="AQ18" s="2"/>
      <c r="AR18" s="22">
        <f t="shared" si="0"/>
        <v>3471</v>
      </c>
      <c r="AS18" s="22">
        <f t="shared" si="0"/>
        <v>3391</v>
      </c>
      <c r="AT18" s="19">
        <f t="shared" si="1"/>
        <v>0.97695188706424663</v>
      </c>
      <c r="AU18" s="47" t="s">
        <v>666</v>
      </c>
      <c r="AV18" s="29"/>
    </row>
    <row r="19" spans="2:48" ht="93.75" hidden="1" customHeight="1" x14ac:dyDescent="0.25">
      <c r="B19" s="34">
        <v>10</v>
      </c>
      <c r="C19" s="2" t="s">
        <v>663</v>
      </c>
      <c r="D19" s="6" t="s">
        <v>664</v>
      </c>
      <c r="E19" s="2" t="s">
        <v>667</v>
      </c>
      <c r="F19" s="6" t="s">
        <v>314</v>
      </c>
      <c r="G19" s="6" t="s">
        <v>315</v>
      </c>
      <c r="H19" s="1" t="s">
        <v>140</v>
      </c>
      <c r="I19" s="2" t="s">
        <v>141</v>
      </c>
      <c r="J19" s="2" t="s">
        <v>89</v>
      </c>
      <c r="K19" s="2" t="s">
        <v>44</v>
      </c>
      <c r="L19" s="2" t="s">
        <v>45</v>
      </c>
      <c r="M19" s="6" t="s">
        <v>668</v>
      </c>
      <c r="N19" s="6" t="s">
        <v>669</v>
      </c>
      <c r="O19" s="2"/>
      <c r="P19" s="2"/>
      <c r="Q19" s="5" t="s">
        <v>86</v>
      </c>
      <c r="R19" s="5" t="s">
        <v>72</v>
      </c>
      <c r="S19" s="5" t="s">
        <v>670</v>
      </c>
      <c r="T19" s="2">
        <v>908</v>
      </c>
      <c r="U19" s="2">
        <v>136</v>
      </c>
      <c r="V19" s="2">
        <v>1442</v>
      </c>
      <c r="W19" s="2">
        <v>185</v>
      </c>
      <c r="X19" s="2">
        <v>1167</v>
      </c>
      <c r="Y19" s="2">
        <v>331</v>
      </c>
      <c r="Z19" s="2">
        <v>1773</v>
      </c>
      <c r="AA19" s="2">
        <v>765</v>
      </c>
      <c r="AB19" s="2">
        <v>1957</v>
      </c>
      <c r="AC19" s="2">
        <v>720</v>
      </c>
      <c r="AD19" s="2">
        <v>1929</v>
      </c>
      <c r="AE19" s="2">
        <v>557</v>
      </c>
      <c r="AF19" s="2"/>
      <c r="AG19" s="2"/>
      <c r="AH19" s="2"/>
      <c r="AI19" s="2"/>
      <c r="AJ19" s="2"/>
      <c r="AK19" s="2"/>
      <c r="AL19" s="2"/>
      <c r="AM19" s="2"/>
      <c r="AN19" s="2"/>
      <c r="AO19" s="2"/>
      <c r="AP19" s="2"/>
      <c r="AQ19" s="2"/>
      <c r="AR19" s="22">
        <f t="shared" si="0"/>
        <v>9176</v>
      </c>
      <c r="AS19" s="22">
        <f t="shared" si="0"/>
        <v>2694</v>
      </c>
      <c r="AT19" s="19">
        <f t="shared" si="1"/>
        <v>0.29359197907585005</v>
      </c>
      <c r="AU19" s="47" t="s">
        <v>666</v>
      </c>
      <c r="AV19" s="29"/>
    </row>
    <row r="20" spans="2:48" ht="93" hidden="1" customHeight="1" x14ac:dyDescent="0.25">
      <c r="B20" s="34">
        <v>11</v>
      </c>
      <c r="C20" s="2" t="s">
        <v>52</v>
      </c>
      <c r="D20" s="6" t="s">
        <v>671</v>
      </c>
      <c r="E20" s="2" t="s">
        <v>672</v>
      </c>
      <c r="F20" s="6" t="s">
        <v>521</v>
      </c>
      <c r="G20" s="6" t="s">
        <v>522</v>
      </c>
      <c r="H20" s="2" t="s">
        <v>41</v>
      </c>
      <c r="I20" s="2" t="s">
        <v>42</v>
      </c>
      <c r="J20" s="2" t="s">
        <v>43</v>
      </c>
      <c r="K20" s="2" t="s">
        <v>44</v>
      </c>
      <c r="L20" s="2" t="s">
        <v>45</v>
      </c>
      <c r="M20" s="6" t="s">
        <v>523</v>
      </c>
      <c r="N20" s="6" t="s">
        <v>524</v>
      </c>
      <c r="O20" s="2"/>
      <c r="P20" s="2"/>
      <c r="Q20" s="5" t="s">
        <v>86</v>
      </c>
      <c r="R20" s="5" t="s">
        <v>72</v>
      </c>
      <c r="S20" s="43">
        <v>1</v>
      </c>
      <c r="T20" s="2">
        <v>278</v>
      </c>
      <c r="U20" s="2">
        <v>255</v>
      </c>
      <c r="V20" s="2">
        <v>404</v>
      </c>
      <c r="W20" s="2">
        <v>302</v>
      </c>
      <c r="X20" s="2">
        <v>363</v>
      </c>
      <c r="Y20" s="2">
        <v>319</v>
      </c>
      <c r="Z20" s="2">
        <v>0</v>
      </c>
      <c r="AA20" s="2">
        <v>179</v>
      </c>
      <c r="AB20" s="2">
        <v>184</v>
      </c>
      <c r="AC20" s="2">
        <v>204</v>
      </c>
      <c r="AD20" s="2">
        <v>264</v>
      </c>
      <c r="AE20" s="2">
        <v>305</v>
      </c>
      <c r="AF20" s="2"/>
      <c r="AG20" s="2"/>
      <c r="AH20" s="2"/>
      <c r="AI20" s="2"/>
      <c r="AJ20" s="2"/>
      <c r="AK20" s="2"/>
      <c r="AL20" s="2"/>
      <c r="AM20" s="2"/>
      <c r="AN20" s="2"/>
      <c r="AO20" s="2"/>
      <c r="AP20" s="2"/>
      <c r="AQ20" s="2"/>
      <c r="AR20" s="22">
        <f t="shared" si="0"/>
        <v>1493</v>
      </c>
      <c r="AS20" s="22">
        <f t="shared" si="0"/>
        <v>1564</v>
      </c>
      <c r="AT20" s="19">
        <f t="shared" si="1"/>
        <v>1.0475552578700602</v>
      </c>
      <c r="AU20" s="47" t="s">
        <v>666</v>
      </c>
      <c r="AV20" s="29" t="s">
        <v>673</v>
      </c>
    </row>
    <row r="21" spans="2:48" ht="99.75" hidden="1" customHeight="1" x14ac:dyDescent="0.25">
      <c r="B21" s="34">
        <v>12</v>
      </c>
      <c r="C21" s="2" t="s">
        <v>52</v>
      </c>
      <c r="D21" s="6" t="s">
        <v>671</v>
      </c>
      <c r="E21" s="2" t="s">
        <v>672</v>
      </c>
      <c r="F21" s="6" t="s">
        <v>39</v>
      </c>
      <c r="G21" s="6" t="s">
        <v>40</v>
      </c>
      <c r="H21" s="2" t="s">
        <v>41</v>
      </c>
      <c r="I21" s="2" t="s">
        <v>42</v>
      </c>
      <c r="J21" s="2" t="s">
        <v>369</v>
      </c>
      <c r="K21" s="2" t="s">
        <v>44</v>
      </c>
      <c r="L21" s="2" t="s">
        <v>45</v>
      </c>
      <c r="M21" s="6" t="s">
        <v>46</v>
      </c>
      <c r="N21" s="6" t="s">
        <v>47</v>
      </c>
      <c r="O21" s="2"/>
      <c r="P21" s="2"/>
      <c r="Q21" s="5" t="s">
        <v>86</v>
      </c>
      <c r="R21" s="5" t="s">
        <v>72</v>
      </c>
      <c r="S21" s="43">
        <v>1</v>
      </c>
      <c r="T21" s="2">
        <v>29759</v>
      </c>
      <c r="U21" s="2">
        <v>29694</v>
      </c>
      <c r="V21" s="2">
        <v>16343</v>
      </c>
      <c r="W21" s="2">
        <v>16299</v>
      </c>
      <c r="X21" s="2">
        <v>30020</v>
      </c>
      <c r="Y21" s="2">
        <v>30056</v>
      </c>
      <c r="Z21" s="2">
        <v>28155</v>
      </c>
      <c r="AA21" s="2">
        <v>28107</v>
      </c>
      <c r="AB21" s="2">
        <v>28993</v>
      </c>
      <c r="AC21" s="2">
        <v>29004</v>
      </c>
      <c r="AD21" s="2">
        <v>27361</v>
      </c>
      <c r="AE21" s="2">
        <v>27370</v>
      </c>
      <c r="AF21" s="2"/>
      <c r="AG21" s="2"/>
      <c r="AH21" s="2"/>
      <c r="AI21" s="2"/>
      <c r="AJ21" s="2"/>
      <c r="AK21" s="2"/>
      <c r="AL21" s="2"/>
      <c r="AM21" s="2"/>
      <c r="AN21" s="2"/>
      <c r="AO21" s="2"/>
      <c r="AP21" s="2"/>
      <c r="AQ21" s="2"/>
      <c r="AR21" s="22">
        <f>+AVERAGE(T21,V21,X21,Z21,AB21,AD21,AF21,AH21,AJ21,AL21,AN21,AP21)</f>
        <v>26771.833333333332</v>
      </c>
      <c r="AS21" s="22">
        <f>+AVERAGE(U21,W21,Y21,AA21,AC21,AE21,AG21,AI21,AK21,AM21,AO21,AQ21)</f>
        <v>26755</v>
      </c>
      <c r="AT21" s="19">
        <f t="shared" si="1"/>
        <v>0.99937122971282011</v>
      </c>
      <c r="AU21" s="47" t="s">
        <v>666</v>
      </c>
      <c r="AV21" s="29"/>
    </row>
    <row r="22" spans="2:48" ht="93" hidden="1" customHeight="1" x14ac:dyDescent="0.25">
      <c r="B22" s="34">
        <v>13</v>
      </c>
      <c r="C22" s="2" t="s">
        <v>52</v>
      </c>
      <c r="D22" s="6" t="s">
        <v>671</v>
      </c>
      <c r="E22" s="2" t="s">
        <v>674</v>
      </c>
      <c r="F22" s="6" t="s">
        <v>498</v>
      </c>
      <c r="G22" s="6" t="s">
        <v>499</v>
      </c>
      <c r="H22" s="2" t="s">
        <v>41</v>
      </c>
      <c r="I22" s="2" t="s">
        <v>83</v>
      </c>
      <c r="J22" s="2" t="s">
        <v>369</v>
      </c>
      <c r="K22" s="2" t="s">
        <v>44</v>
      </c>
      <c r="L22" s="2" t="s">
        <v>45</v>
      </c>
      <c r="M22" s="6" t="s">
        <v>500</v>
      </c>
      <c r="N22" s="6" t="s">
        <v>501</v>
      </c>
      <c r="O22" s="2"/>
      <c r="P22" s="2"/>
      <c r="Q22" s="5" t="s">
        <v>86</v>
      </c>
      <c r="R22" s="5" t="s">
        <v>72</v>
      </c>
      <c r="S22" s="43">
        <v>1</v>
      </c>
      <c r="T22" s="2">
        <v>9</v>
      </c>
      <c r="U22" s="2">
        <v>9</v>
      </c>
      <c r="V22" s="2">
        <v>11</v>
      </c>
      <c r="W22" s="2">
        <v>9</v>
      </c>
      <c r="X22" s="2">
        <v>0</v>
      </c>
      <c r="Y22" s="2">
        <v>0</v>
      </c>
      <c r="Z22" s="2">
        <v>0</v>
      </c>
      <c r="AA22" s="2">
        <v>0</v>
      </c>
      <c r="AB22" s="2">
        <v>0</v>
      </c>
      <c r="AC22" s="2">
        <v>0</v>
      </c>
      <c r="AD22" s="2">
        <v>0</v>
      </c>
      <c r="AE22" s="2">
        <v>0</v>
      </c>
      <c r="AF22" s="2"/>
      <c r="AG22" s="2"/>
      <c r="AH22" s="2"/>
      <c r="AI22" s="2"/>
      <c r="AJ22" s="2"/>
      <c r="AK22" s="2"/>
      <c r="AL22" s="2"/>
      <c r="AM22" s="2"/>
      <c r="AN22" s="2"/>
      <c r="AO22" s="2"/>
      <c r="AP22" s="2"/>
      <c r="AQ22" s="2"/>
      <c r="AR22" s="22">
        <f t="shared" si="0"/>
        <v>20</v>
      </c>
      <c r="AS22" s="22">
        <f t="shared" si="0"/>
        <v>18</v>
      </c>
      <c r="AT22" s="19">
        <f t="shared" si="1"/>
        <v>0.9</v>
      </c>
      <c r="AU22" s="47" t="s">
        <v>666</v>
      </c>
      <c r="AV22" s="29" t="s">
        <v>675</v>
      </c>
    </row>
    <row r="23" spans="2:48" ht="93" hidden="1" customHeight="1" x14ac:dyDescent="0.25">
      <c r="B23" s="34">
        <v>14</v>
      </c>
      <c r="C23" s="2" t="s">
        <v>52</v>
      </c>
      <c r="D23" s="6" t="s">
        <v>671</v>
      </c>
      <c r="E23" s="2" t="s">
        <v>676</v>
      </c>
      <c r="F23" s="6" t="s">
        <v>516</v>
      </c>
      <c r="G23" s="6" t="s">
        <v>517</v>
      </c>
      <c r="H23" s="2" t="s">
        <v>41</v>
      </c>
      <c r="I23" s="2" t="s">
        <v>141</v>
      </c>
      <c r="J23" s="2" t="s">
        <v>369</v>
      </c>
      <c r="K23" s="2" t="s">
        <v>44</v>
      </c>
      <c r="L23" s="2" t="s">
        <v>45</v>
      </c>
      <c r="M23" s="6" t="s">
        <v>518</v>
      </c>
      <c r="N23" s="6" t="s">
        <v>677</v>
      </c>
      <c r="O23" s="2"/>
      <c r="P23" s="2"/>
      <c r="Q23" s="5" t="s">
        <v>86</v>
      </c>
      <c r="R23" s="5" t="s">
        <v>72</v>
      </c>
      <c r="S23" s="43">
        <v>1</v>
      </c>
      <c r="T23" s="2">
        <v>562</v>
      </c>
      <c r="U23" s="2">
        <v>546</v>
      </c>
      <c r="V23" s="2">
        <v>750</v>
      </c>
      <c r="W23" s="2">
        <v>695</v>
      </c>
      <c r="X23" s="2">
        <v>959</v>
      </c>
      <c r="Y23" s="2">
        <v>950</v>
      </c>
      <c r="Z23" s="2">
        <v>943</v>
      </c>
      <c r="AA23" s="2">
        <v>943</v>
      </c>
      <c r="AB23" s="2">
        <v>927</v>
      </c>
      <c r="AC23" s="2">
        <v>927</v>
      </c>
      <c r="AD23" s="2">
        <v>905</v>
      </c>
      <c r="AE23" s="2">
        <v>905</v>
      </c>
      <c r="AF23" s="2"/>
      <c r="AG23" s="2"/>
      <c r="AH23" s="2"/>
      <c r="AI23" s="2"/>
      <c r="AJ23" s="2"/>
      <c r="AK23" s="2"/>
      <c r="AL23" s="2"/>
      <c r="AM23" s="2"/>
      <c r="AN23" s="2"/>
      <c r="AO23" s="2"/>
      <c r="AP23" s="2"/>
      <c r="AQ23" s="2"/>
      <c r="AR23" s="22">
        <f t="shared" si="0"/>
        <v>5046</v>
      </c>
      <c r="AS23" s="22">
        <f t="shared" si="0"/>
        <v>4966</v>
      </c>
      <c r="AT23" s="19">
        <f t="shared" si="1"/>
        <v>0.98414585810543009</v>
      </c>
      <c r="AU23" s="47" t="s">
        <v>666</v>
      </c>
      <c r="AV23" s="29"/>
    </row>
    <row r="24" spans="2:48" ht="93" hidden="1" customHeight="1" x14ac:dyDescent="0.25">
      <c r="B24" s="34"/>
      <c r="C24" s="2" t="s">
        <v>52</v>
      </c>
      <c r="D24" s="6" t="s">
        <v>671</v>
      </c>
      <c r="E24" s="2" t="s">
        <v>672</v>
      </c>
      <c r="F24" s="6" t="s">
        <v>678</v>
      </c>
      <c r="G24" s="6" t="s">
        <v>679</v>
      </c>
      <c r="H24" s="2" t="s">
        <v>41</v>
      </c>
      <c r="I24" s="2" t="s">
        <v>42</v>
      </c>
      <c r="J24" s="2" t="s">
        <v>369</v>
      </c>
      <c r="K24" s="2" t="s">
        <v>44</v>
      </c>
      <c r="L24" s="2" t="s">
        <v>680</v>
      </c>
      <c r="M24" s="6" t="s">
        <v>90</v>
      </c>
      <c r="N24" s="6" t="s">
        <v>91</v>
      </c>
      <c r="O24" s="2"/>
      <c r="P24" s="2"/>
      <c r="Q24" s="5" t="s">
        <v>86</v>
      </c>
      <c r="R24" s="5" t="s">
        <v>72</v>
      </c>
      <c r="S24" s="43">
        <v>0.11</v>
      </c>
      <c r="T24" s="2"/>
      <c r="U24" s="2"/>
      <c r="V24" s="2"/>
      <c r="W24" s="2"/>
      <c r="X24" s="2"/>
      <c r="Y24" s="2"/>
      <c r="Z24" s="2"/>
      <c r="AA24" s="2"/>
      <c r="AB24" s="2">
        <v>29004</v>
      </c>
      <c r="AC24" s="2">
        <v>3100</v>
      </c>
      <c r="AD24" s="2">
        <v>27370</v>
      </c>
      <c r="AE24" s="2">
        <v>3000</v>
      </c>
      <c r="AF24" s="2"/>
      <c r="AG24" s="2"/>
      <c r="AH24" s="2"/>
      <c r="AI24" s="2"/>
      <c r="AJ24" s="2"/>
      <c r="AK24" s="2"/>
      <c r="AL24" s="2"/>
      <c r="AM24" s="2"/>
      <c r="AN24" s="2"/>
      <c r="AO24" s="2"/>
      <c r="AP24" s="2"/>
      <c r="AQ24" s="2"/>
      <c r="AR24" s="22">
        <f>+AVERAGE(T24,V24,X24,Z24,AB24,AD24,AF24,AH24,AJ24,AL24,AN24,AP24)</f>
        <v>28187</v>
      </c>
      <c r="AS24" s="22">
        <f>+AVERAGE(U24,W24,Y24,AA24,AC24,AE24,AG24,AI24,AK24,AM24,AO24,AQ24)</f>
        <v>3050</v>
      </c>
      <c r="AT24" s="19">
        <f t="shared" si="1"/>
        <v>0.10820591052612907</v>
      </c>
      <c r="AU24" s="47" t="s">
        <v>666</v>
      </c>
      <c r="AV24" s="29" t="s">
        <v>681</v>
      </c>
    </row>
    <row r="25" spans="2:48" ht="115.5" hidden="1" customHeight="1" x14ac:dyDescent="0.25">
      <c r="B25" s="34">
        <v>15</v>
      </c>
      <c r="C25" s="2" t="s">
        <v>682</v>
      </c>
      <c r="D25" s="6" t="s">
        <v>683</v>
      </c>
      <c r="E25" s="2" t="s">
        <v>684</v>
      </c>
      <c r="F25" s="6" t="s">
        <v>198</v>
      </c>
      <c r="G25" s="6" t="s">
        <v>199</v>
      </c>
      <c r="H25" s="2" t="s">
        <v>41</v>
      </c>
      <c r="I25" s="2" t="s">
        <v>42</v>
      </c>
      <c r="J25" s="2" t="s">
        <v>89</v>
      </c>
      <c r="K25" s="2" t="s">
        <v>44</v>
      </c>
      <c r="L25" s="2" t="s">
        <v>45</v>
      </c>
      <c r="M25" s="6" t="s">
        <v>200</v>
      </c>
      <c r="N25" s="6" t="s">
        <v>201</v>
      </c>
      <c r="O25" s="2"/>
      <c r="P25" s="2"/>
      <c r="Q25" s="5" t="s">
        <v>86</v>
      </c>
      <c r="R25" s="5" t="s">
        <v>72</v>
      </c>
      <c r="S25" s="5" t="s">
        <v>685</v>
      </c>
      <c r="T25" s="2">
        <v>5</v>
      </c>
      <c r="U25" s="2">
        <v>4</v>
      </c>
      <c r="V25" s="2">
        <v>4</v>
      </c>
      <c r="W25" s="2">
        <v>3</v>
      </c>
      <c r="X25" s="2">
        <v>3</v>
      </c>
      <c r="Y25" s="2">
        <v>7</v>
      </c>
      <c r="Z25" s="2">
        <v>3</v>
      </c>
      <c r="AA25" s="2">
        <v>3</v>
      </c>
      <c r="AB25" s="2">
        <v>3</v>
      </c>
      <c r="AC25" s="2">
        <v>2</v>
      </c>
      <c r="AD25" s="2">
        <v>2</v>
      </c>
      <c r="AE25" s="2">
        <v>4</v>
      </c>
      <c r="AF25" s="2"/>
      <c r="AG25" s="2"/>
      <c r="AH25" s="2"/>
      <c r="AI25" s="2"/>
      <c r="AJ25" s="2"/>
      <c r="AK25" s="2"/>
      <c r="AL25" s="2"/>
      <c r="AM25" s="2"/>
      <c r="AN25" s="2"/>
      <c r="AO25" s="2"/>
      <c r="AP25" s="2"/>
      <c r="AQ25" s="2"/>
      <c r="AR25" s="22">
        <f t="shared" si="0"/>
        <v>20</v>
      </c>
      <c r="AS25" s="22">
        <f t="shared" si="0"/>
        <v>23</v>
      </c>
      <c r="AT25" s="19">
        <f>+(AS25/AR25)-1</f>
        <v>0.14999999999999991</v>
      </c>
      <c r="AU25" s="23" t="s">
        <v>645</v>
      </c>
      <c r="AV25" s="29" t="s">
        <v>686</v>
      </c>
    </row>
    <row r="26" spans="2:48" ht="115.5" hidden="1" customHeight="1" x14ac:dyDescent="0.25">
      <c r="B26" s="34">
        <v>16</v>
      </c>
      <c r="C26" s="2" t="s">
        <v>682</v>
      </c>
      <c r="D26" s="6" t="s">
        <v>687</v>
      </c>
      <c r="E26" s="2" t="s">
        <v>684</v>
      </c>
      <c r="F26" s="6" t="s">
        <v>526</v>
      </c>
      <c r="G26" s="6" t="s">
        <v>527</v>
      </c>
      <c r="H26" s="2" t="s">
        <v>41</v>
      </c>
      <c r="I26" s="2" t="s">
        <v>42</v>
      </c>
      <c r="J26" s="2" t="s">
        <v>369</v>
      </c>
      <c r="K26" s="2" t="s">
        <v>44</v>
      </c>
      <c r="L26" s="2" t="s">
        <v>45</v>
      </c>
      <c r="M26" s="6" t="s">
        <v>528</v>
      </c>
      <c r="N26" s="6" t="s">
        <v>529</v>
      </c>
      <c r="O26" s="1"/>
      <c r="P26" s="1"/>
      <c r="Q26" s="5" t="s">
        <v>86</v>
      </c>
      <c r="R26" s="5" t="s">
        <v>72</v>
      </c>
      <c r="S26" s="43">
        <v>1</v>
      </c>
      <c r="T26" s="60">
        <v>12</v>
      </c>
      <c r="U26" s="60">
        <v>6</v>
      </c>
      <c r="V26" s="2">
        <v>12</v>
      </c>
      <c r="W26" s="2">
        <v>12</v>
      </c>
      <c r="X26" s="2">
        <v>7</v>
      </c>
      <c r="Y26" s="2">
        <v>7</v>
      </c>
      <c r="Z26" s="2">
        <v>0</v>
      </c>
      <c r="AA26" s="2">
        <v>0</v>
      </c>
      <c r="AB26" s="2">
        <v>4</v>
      </c>
      <c r="AC26" s="2">
        <v>4</v>
      </c>
      <c r="AD26" s="2">
        <v>8</v>
      </c>
      <c r="AE26" s="2">
        <v>8</v>
      </c>
      <c r="AF26" s="2"/>
      <c r="AG26" s="2"/>
      <c r="AH26" s="2"/>
      <c r="AI26" s="2"/>
      <c r="AJ26" s="2"/>
      <c r="AK26" s="2"/>
      <c r="AL26" s="2"/>
      <c r="AM26" s="2"/>
      <c r="AN26" s="2"/>
      <c r="AO26" s="2"/>
      <c r="AP26" s="2"/>
      <c r="AQ26" s="2"/>
      <c r="AR26" s="22">
        <f t="shared" si="0"/>
        <v>43</v>
      </c>
      <c r="AS26" s="22">
        <f t="shared" si="0"/>
        <v>37</v>
      </c>
      <c r="AT26" s="19">
        <f t="shared" ref="AT26:AT34" si="2">+AS26/AR26</f>
        <v>0.86046511627906974</v>
      </c>
      <c r="AU26" s="47" t="s">
        <v>666</v>
      </c>
      <c r="AV26" s="29"/>
    </row>
    <row r="27" spans="2:48" ht="84" hidden="1" customHeight="1" x14ac:dyDescent="0.25">
      <c r="B27" s="34">
        <v>17</v>
      </c>
      <c r="C27" s="2" t="s">
        <v>60</v>
      </c>
      <c r="D27" s="6" t="s">
        <v>688</v>
      </c>
      <c r="E27" s="2" t="s">
        <v>689</v>
      </c>
      <c r="F27" s="6" t="s">
        <v>61</v>
      </c>
      <c r="G27" s="6" t="s">
        <v>511</v>
      </c>
      <c r="H27" s="2" t="s">
        <v>41</v>
      </c>
      <c r="I27" s="2" t="s">
        <v>42</v>
      </c>
      <c r="J27" s="2" t="s">
        <v>369</v>
      </c>
      <c r="K27" s="2" t="s">
        <v>44</v>
      </c>
      <c r="L27" s="2" t="s">
        <v>45</v>
      </c>
      <c r="M27" s="6" t="s">
        <v>512</v>
      </c>
      <c r="N27" s="6" t="s">
        <v>513</v>
      </c>
      <c r="O27" s="2"/>
      <c r="P27" s="2"/>
      <c r="Q27" s="5" t="s">
        <v>240</v>
      </c>
      <c r="R27" s="5" t="s">
        <v>72</v>
      </c>
      <c r="S27" s="43">
        <v>1</v>
      </c>
      <c r="T27" s="2">
        <v>387</v>
      </c>
      <c r="U27" s="2">
        <v>387</v>
      </c>
      <c r="V27" s="2">
        <v>505</v>
      </c>
      <c r="W27" s="2">
        <v>505</v>
      </c>
      <c r="X27" s="2">
        <v>522</v>
      </c>
      <c r="Y27" s="2">
        <v>522</v>
      </c>
      <c r="Z27" s="2">
        <v>345</v>
      </c>
      <c r="AA27" s="2">
        <v>345</v>
      </c>
      <c r="AB27" s="2">
        <v>442</v>
      </c>
      <c r="AC27" s="2">
        <v>442</v>
      </c>
      <c r="AD27" s="2">
        <v>507</v>
      </c>
      <c r="AE27" s="2">
        <v>507</v>
      </c>
      <c r="AF27" s="2"/>
      <c r="AG27" s="2"/>
      <c r="AH27" s="2"/>
      <c r="AI27" s="2"/>
      <c r="AJ27" s="2"/>
      <c r="AK27" s="2"/>
      <c r="AL27" s="2"/>
      <c r="AM27" s="2"/>
      <c r="AN27" s="2"/>
      <c r="AO27" s="2"/>
      <c r="AP27" s="2"/>
      <c r="AQ27" s="2"/>
      <c r="AR27" s="22">
        <f t="shared" si="0"/>
        <v>2708</v>
      </c>
      <c r="AS27" s="22">
        <f t="shared" si="0"/>
        <v>2708</v>
      </c>
      <c r="AT27" s="19">
        <f t="shared" si="2"/>
        <v>1</v>
      </c>
      <c r="AU27" s="47" t="s">
        <v>666</v>
      </c>
      <c r="AV27" s="29"/>
    </row>
    <row r="28" spans="2:48" ht="84" hidden="1" customHeight="1" x14ac:dyDescent="0.25">
      <c r="B28" s="34">
        <v>18</v>
      </c>
      <c r="C28" s="2" t="s">
        <v>60</v>
      </c>
      <c r="D28" s="6" t="s">
        <v>688</v>
      </c>
      <c r="E28" s="2" t="s">
        <v>690</v>
      </c>
      <c r="F28" s="6" t="s">
        <v>504</v>
      </c>
      <c r="G28" s="6" t="s">
        <v>505</v>
      </c>
      <c r="H28" s="2" t="s">
        <v>41</v>
      </c>
      <c r="I28" s="2" t="s">
        <v>42</v>
      </c>
      <c r="J28" s="2" t="s">
        <v>89</v>
      </c>
      <c r="K28" s="2" t="s">
        <v>44</v>
      </c>
      <c r="L28" s="2" t="s">
        <v>45</v>
      </c>
      <c r="M28" s="6" t="s">
        <v>506</v>
      </c>
      <c r="N28" s="6" t="s">
        <v>507</v>
      </c>
      <c r="O28" s="2"/>
      <c r="P28" s="2"/>
      <c r="Q28" s="5" t="s">
        <v>86</v>
      </c>
      <c r="R28" s="5" t="s">
        <v>72</v>
      </c>
      <c r="S28" s="43">
        <v>0.25</v>
      </c>
      <c r="T28" s="2">
        <v>740</v>
      </c>
      <c r="U28" s="2">
        <v>6</v>
      </c>
      <c r="V28" s="2">
        <v>943</v>
      </c>
      <c r="W28" s="2">
        <v>2</v>
      </c>
      <c r="X28" s="2">
        <v>585</v>
      </c>
      <c r="Y28" s="2">
        <v>15</v>
      </c>
      <c r="Z28" s="2">
        <v>135</v>
      </c>
      <c r="AA28" s="2">
        <v>0</v>
      </c>
      <c r="AB28" s="2">
        <v>43</v>
      </c>
      <c r="AC28" s="2">
        <v>3</v>
      </c>
      <c r="AD28" s="2">
        <v>36</v>
      </c>
      <c r="AE28" s="2">
        <v>0</v>
      </c>
      <c r="AF28" s="2"/>
      <c r="AG28" s="2"/>
      <c r="AH28" s="2"/>
      <c r="AI28" s="2"/>
      <c r="AJ28" s="2"/>
      <c r="AK28" s="2"/>
      <c r="AL28" s="2"/>
      <c r="AM28" s="2"/>
      <c r="AN28" s="2"/>
      <c r="AO28" s="2"/>
      <c r="AP28" s="2"/>
      <c r="AQ28" s="2"/>
      <c r="AR28" s="22">
        <f t="shared" si="0"/>
        <v>2482</v>
      </c>
      <c r="AS28" s="22">
        <f t="shared" si="0"/>
        <v>26</v>
      </c>
      <c r="AT28" s="19">
        <f t="shared" si="2"/>
        <v>1.0475423045930701E-2</v>
      </c>
      <c r="AU28" s="47" t="s">
        <v>666</v>
      </c>
      <c r="AV28" s="29"/>
    </row>
    <row r="29" spans="2:48" ht="84" hidden="1" customHeight="1" x14ac:dyDescent="0.25">
      <c r="B29" s="34">
        <v>19</v>
      </c>
      <c r="C29" s="2" t="s">
        <v>60</v>
      </c>
      <c r="D29" s="6" t="s">
        <v>688</v>
      </c>
      <c r="E29" s="2" t="s">
        <v>691</v>
      </c>
      <c r="F29" s="6" t="s">
        <v>532</v>
      </c>
      <c r="G29" s="6" t="s">
        <v>533</v>
      </c>
      <c r="H29" s="2" t="s">
        <v>41</v>
      </c>
      <c r="I29" s="2" t="s">
        <v>141</v>
      </c>
      <c r="J29" s="2" t="s">
        <v>369</v>
      </c>
      <c r="K29" s="2" t="s">
        <v>237</v>
      </c>
      <c r="L29" s="2" t="s">
        <v>45</v>
      </c>
      <c r="M29" s="6" t="s">
        <v>692</v>
      </c>
      <c r="N29" s="6" t="s">
        <v>535</v>
      </c>
      <c r="O29" s="2"/>
      <c r="P29" s="2"/>
      <c r="Q29" s="5" t="s">
        <v>536</v>
      </c>
      <c r="R29" s="5" t="s">
        <v>72</v>
      </c>
      <c r="S29" s="5" t="s">
        <v>693</v>
      </c>
      <c r="T29" s="2">
        <v>100</v>
      </c>
      <c r="U29" s="2">
        <v>600</v>
      </c>
      <c r="V29" s="2">
        <v>87</v>
      </c>
      <c r="W29" s="2">
        <v>635</v>
      </c>
      <c r="X29" s="2">
        <v>65</v>
      </c>
      <c r="Y29" s="2">
        <v>699</v>
      </c>
      <c r="Z29" s="2">
        <v>82</v>
      </c>
      <c r="AA29" s="2">
        <v>409</v>
      </c>
      <c r="AB29" s="2">
        <v>35</v>
      </c>
      <c r="AC29" s="2">
        <v>176</v>
      </c>
      <c r="AD29" s="2">
        <v>35</v>
      </c>
      <c r="AE29" s="2">
        <v>205</v>
      </c>
      <c r="AF29" s="2"/>
      <c r="AG29" s="2"/>
      <c r="AH29" s="2"/>
      <c r="AI29" s="2"/>
      <c r="AJ29" s="2"/>
      <c r="AK29" s="2"/>
      <c r="AL29" s="2"/>
      <c r="AM29" s="2"/>
      <c r="AN29" s="2"/>
      <c r="AO29" s="2"/>
      <c r="AP29" s="2"/>
      <c r="AQ29" s="2"/>
      <c r="AR29" s="22">
        <f t="shared" si="0"/>
        <v>404</v>
      </c>
      <c r="AS29" s="22">
        <f t="shared" si="0"/>
        <v>2724</v>
      </c>
      <c r="AT29" s="49">
        <f t="shared" si="2"/>
        <v>6.7425742574257423</v>
      </c>
      <c r="AU29" s="47" t="s">
        <v>666</v>
      </c>
      <c r="AV29" s="29"/>
    </row>
    <row r="30" spans="2:48" ht="100.5" hidden="1" customHeight="1" x14ac:dyDescent="0.25">
      <c r="B30" s="34">
        <v>20</v>
      </c>
      <c r="C30" s="2" t="s">
        <v>694</v>
      </c>
      <c r="D30" s="6" t="s">
        <v>695</v>
      </c>
      <c r="E30" s="2" t="s">
        <v>696</v>
      </c>
      <c r="F30" s="6" t="s">
        <v>697</v>
      </c>
      <c r="G30" s="6" t="s">
        <v>698</v>
      </c>
      <c r="H30" s="2" t="s">
        <v>165</v>
      </c>
      <c r="I30" s="2" t="s">
        <v>42</v>
      </c>
      <c r="J30" s="2" t="s">
        <v>113</v>
      </c>
      <c r="K30" s="2" t="s">
        <v>44</v>
      </c>
      <c r="L30" s="2" t="s">
        <v>102</v>
      </c>
      <c r="M30" s="6" t="s">
        <v>699</v>
      </c>
      <c r="N30" s="6" t="s">
        <v>700</v>
      </c>
      <c r="O30" s="2"/>
      <c r="P30" s="2"/>
      <c r="Q30" s="5" t="s">
        <v>86</v>
      </c>
      <c r="R30" s="5" t="s">
        <v>72</v>
      </c>
      <c r="S30" s="43">
        <v>0.65</v>
      </c>
      <c r="T30" s="2"/>
      <c r="U30" s="2"/>
      <c r="V30" s="2"/>
      <c r="W30" s="2"/>
      <c r="X30" s="2"/>
      <c r="Y30" s="2"/>
      <c r="Z30" s="2"/>
      <c r="AA30" s="2"/>
      <c r="AB30" s="2"/>
      <c r="AC30" s="2"/>
      <c r="AD30" s="2">
        <v>70</v>
      </c>
      <c r="AE30" s="2">
        <v>101</v>
      </c>
      <c r="AF30" s="2"/>
      <c r="AG30" s="2"/>
      <c r="AH30" s="2"/>
      <c r="AI30" s="2"/>
      <c r="AJ30" s="2"/>
      <c r="AK30" s="2"/>
      <c r="AL30" s="2"/>
      <c r="AM30" s="2"/>
      <c r="AN30" s="2"/>
      <c r="AO30" s="2"/>
      <c r="AP30" s="2"/>
      <c r="AQ30" s="2"/>
      <c r="AR30" s="22">
        <f t="shared" si="0"/>
        <v>70</v>
      </c>
      <c r="AS30" s="22">
        <f t="shared" si="0"/>
        <v>101</v>
      </c>
      <c r="AT30" s="19">
        <f>+(AS30/AR30)*S30</f>
        <v>0.93785714285714283</v>
      </c>
      <c r="AU30" s="47" t="s">
        <v>666</v>
      </c>
      <c r="AV30" s="29"/>
    </row>
    <row r="31" spans="2:48" ht="100.5" hidden="1" customHeight="1" x14ac:dyDescent="0.25">
      <c r="B31" s="34">
        <v>21</v>
      </c>
      <c r="C31" s="2" t="s">
        <v>694</v>
      </c>
      <c r="D31" s="6" t="s">
        <v>695</v>
      </c>
      <c r="E31" s="2" t="s">
        <v>696</v>
      </c>
      <c r="F31" s="6" t="s">
        <v>163</v>
      </c>
      <c r="G31" s="6" t="s">
        <v>164</v>
      </c>
      <c r="H31" s="2" t="s">
        <v>165</v>
      </c>
      <c r="I31" s="2" t="s">
        <v>42</v>
      </c>
      <c r="J31" s="2" t="s">
        <v>369</v>
      </c>
      <c r="K31" s="2" t="s">
        <v>44</v>
      </c>
      <c r="L31" s="2" t="s">
        <v>69</v>
      </c>
      <c r="M31" s="6" t="s">
        <v>166</v>
      </c>
      <c r="N31" s="6" t="s">
        <v>167</v>
      </c>
      <c r="O31" s="2"/>
      <c r="P31" s="2"/>
      <c r="Q31" s="5" t="s">
        <v>86</v>
      </c>
      <c r="R31" s="5" t="s">
        <v>72</v>
      </c>
      <c r="S31" s="43">
        <v>1</v>
      </c>
      <c r="T31" s="2"/>
      <c r="U31" s="2"/>
      <c r="V31" s="2"/>
      <c r="W31" s="2"/>
      <c r="X31" s="2">
        <v>24</v>
      </c>
      <c r="Y31" s="2">
        <v>24</v>
      </c>
      <c r="Z31" s="2"/>
      <c r="AA31" s="2"/>
      <c r="AB31" s="2"/>
      <c r="AC31" s="2"/>
      <c r="AD31" s="2">
        <v>13</v>
      </c>
      <c r="AE31" s="2">
        <v>13</v>
      </c>
      <c r="AF31" s="2"/>
      <c r="AG31" s="2"/>
      <c r="AH31" s="2"/>
      <c r="AI31" s="2"/>
      <c r="AJ31" s="2"/>
      <c r="AK31" s="2"/>
      <c r="AL31" s="2"/>
      <c r="AM31" s="2"/>
      <c r="AN31" s="2"/>
      <c r="AO31" s="2"/>
      <c r="AP31" s="2"/>
      <c r="AQ31" s="2"/>
      <c r="AR31" s="22">
        <f t="shared" si="0"/>
        <v>37</v>
      </c>
      <c r="AS31" s="22">
        <f t="shared" si="0"/>
        <v>37</v>
      </c>
      <c r="AT31" s="51">
        <f>+AS31/AR31</f>
        <v>1</v>
      </c>
      <c r="AU31" s="47" t="s">
        <v>666</v>
      </c>
      <c r="AV31" s="29"/>
    </row>
    <row r="32" spans="2:48" ht="113.25" hidden="1" customHeight="1" x14ac:dyDescent="0.25">
      <c r="B32" s="34">
        <v>22</v>
      </c>
      <c r="C32" s="2" t="s">
        <v>701</v>
      </c>
      <c r="D32" s="6" t="s">
        <v>702</v>
      </c>
      <c r="E32" s="2" t="s">
        <v>703</v>
      </c>
      <c r="F32" s="6" t="s">
        <v>193</v>
      </c>
      <c r="G32" s="6" t="s">
        <v>194</v>
      </c>
      <c r="H32" s="2" t="s">
        <v>179</v>
      </c>
      <c r="I32" s="2" t="s">
        <v>83</v>
      </c>
      <c r="J32" s="2" t="s">
        <v>369</v>
      </c>
      <c r="K32" s="2" t="s">
        <v>44</v>
      </c>
      <c r="L32" s="2" t="s">
        <v>69</v>
      </c>
      <c r="M32" s="6" t="s">
        <v>704</v>
      </c>
      <c r="N32" s="6" t="s">
        <v>705</v>
      </c>
      <c r="O32" s="2"/>
      <c r="P32" s="2"/>
      <c r="Q32" s="5" t="s">
        <v>86</v>
      </c>
      <c r="R32" s="5" t="s">
        <v>72</v>
      </c>
      <c r="S32" s="43">
        <v>0.9</v>
      </c>
      <c r="T32" s="2"/>
      <c r="U32" s="2"/>
      <c r="V32" s="2"/>
      <c r="W32" s="2"/>
      <c r="X32" s="2">
        <v>0</v>
      </c>
      <c r="Y32" s="2">
        <v>0</v>
      </c>
      <c r="Z32" s="2"/>
      <c r="AA32" s="2"/>
      <c r="AB32" s="2"/>
      <c r="AC32" s="2"/>
      <c r="AD32" s="2">
        <v>68</v>
      </c>
      <c r="AE32" s="2">
        <v>68</v>
      </c>
      <c r="AF32" s="2"/>
      <c r="AG32" s="2"/>
      <c r="AH32" s="2"/>
      <c r="AI32" s="2"/>
      <c r="AJ32" s="2"/>
      <c r="AK32" s="2"/>
      <c r="AL32" s="2"/>
      <c r="AM32" s="2"/>
      <c r="AN32" s="2"/>
      <c r="AO32" s="2"/>
      <c r="AP32" s="2"/>
      <c r="AQ32" s="2"/>
      <c r="AR32" s="22">
        <f t="shared" si="0"/>
        <v>68</v>
      </c>
      <c r="AS32" s="22">
        <f t="shared" si="0"/>
        <v>68</v>
      </c>
      <c r="AT32" s="19">
        <f t="shared" si="2"/>
        <v>1</v>
      </c>
      <c r="AU32" s="47" t="s">
        <v>666</v>
      </c>
      <c r="AV32" s="29"/>
    </row>
    <row r="33" spans="2:48" ht="113.25" hidden="1" customHeight="1" x14ac:dyDescent="0.25">
      <c r="B33" s="34">
        <v>23</v>
      </c>
      <c r="C33" s="2" t="s">
        <v>701</v>
      </c>
      <c r="D33" s="6" t="s">
        <v>702</v>
      </c>
      <c r="E33" s="2" t="s">
        <v>706</v>
      </c>
      <c r="F33" s="6" t="s">
        <v>177</v>
      </c>
      <c r="G33" s="6" t="s">
        <v>178</v>
      </c>
      <c r="H33" s="2" t="s">
        <v>707</v>
      </c>
      <c r="I33" s="2" t="s">
        <v>42</v>
      </c>
      <c r="J33" s="2" t="s">
        <v>113</v>
      </c>
      <c r="K33" s="2" t="s">
        <v>44</v>
      </c>
      <c r="L33" s="2" t="s">
        <v>69</v>
      </c>
      <c r="M33" s="6" t="s">
        <v>180</v>
      </c>
      <c r="N33" s="6" t="s">
        <v>708</v>
      </c>
      <c r="O33" s="2"/>
      <c r="P33" s="2"/>
      <c r="Q33" s="5" t="s">
        <v>86</v>
      </c>
      <c r="R33" s="5" t="s">
        <v>72</v>
      </c>
      <c r="S33" s="43">
        <v>1</v>
      </c>
      <c r="T33" s="2"/>
      <c r="U33" s="2"/>
      <c r="V33" s="2"/>
      <c r="W33" s="2"/>
      <c r="X33" s="2">
        <v>0</v>
      </c>
      <c r="Y33" s="2">
        <v>0</v>
      </c>
      <c r="Z33" s="2"/>
      <c r="AA33" s="2"/>
      <c r="AB33" s="2"/>
      <c r="AC33" s="2"/>
      <c r="AD33" s="2"/>
      <c r="AE33" s="2"/>
      <c r="AF33" s="2"/>
      <c r="AG33" s="2"/>
      <c r="AH33" s="2"/>
      <c r="AI33" s="2"/>
      <c r="AJ33" s="2"/>
      <c r="AK33" s="2"/>
      <c r="AL33" s="2"/>
      <c r="AM33" s="2"/>
      <c r="AN33" s="2"/>
      <c r="AO33" s="2"/>
      <c r="AP33" s="2"/>
      <c r="AQ33" s="2"/>
      <c r="AR33" s="22">
        <f t="shared" si="0"/>
        <v>0</v>
      </c>
      <c r="AS33" s="22">
        <f t="shared" si="0"/>
        <v>0</v>
      </c>
      <c r="AT33" s="19" t="e">
        <f t="shared" si="2"/>
        <v>#DIV/0!</v>
      </c>
      <c r="AU33" s="2"/>
      <c r="AV33" s="29" t="s">
        <v>709</v>
      </c>
    </row>
    <row r="34" spans="2:48" ht="113.25" hidden="1" customHeight="1" x14ac:dyDescent="0.25">
      <c r="B34" s="34">
        <v>24</v>
      </c>
      <c r="C34" s="2" t="s">
        <v>710</v>
      </c>
      <c r="D34" s="6" t="s">
        <v>711</v>
      </c>
      <c r="E34" s="2" t="s">
        <v>712</v>
      </c>
      <c r="F34" s="6" t="s">
        <v>228</v>
      </c>
      <c r="G34" s="6" t="s">
        <v>229</v>
      </c>
      <c r="H34" s="2" t="s">
        <v>130</v>
      </c>
      <c r="I34" s="2" t="s">
        <v>42</v>
      </c>
      <c r="J34" s="2" t="s">
        <v>113</v>
      </c>
      <c r="K34" s="2" t="s">
        <v>44</v>
      </c>
      <c r="L34" s="2" t="s">
        <v>661</v>
      </c>
      <c r="M34" s="6" t="s">
        <v>230</v>
      </c>
      <c r="N34" s="6" t="s">
        <v>231</v>
      </c>
      <c r="O34" s="2"/>
      <c r="P34" s="2"/>
      <c r="Q34" s="5" t="s">
        <v>86</v>
      </c>
      <c r="R34" s="5" t="s">
        <v>72</v>
      </c>
      <c r="S34" s="43">
        <v>0.9</v>
      </c>
      <c r="T34" s="2"/>
      <c r="U34" s="2"/>
      <c r="V34" s="2"/>
      <c r="W34" s="2"/>
      <c r="X34" s="2"/>
      <c r="Y34" s="2"/>
      <c r="Z34" s="2"/>
      <c r="AA34" s="2"/>
      <c r="AB34" s="2"/>
      <c r="AC34" s="2"/>
      <c r="AD34" s="2"/>
      <c r="AE34" s="2"/>
      <c r="AF34" s="2"/>
      <c r="AG34" s="2"/>
      <c r="AH34" s="2"/>
      <c r="AI34" s="2"/>
      <c r="AJ34" s="2"/>
      <c r="AK34" s="2"/>
      <c r="AL34" s="2"/>
      <c r="AM34" s="2"/>
      <c r="AN34" s="2"/>
      <c r="AO34" s="2"/>
      <c r="AP34" s="2"/>
      <c r="AQ34" s="2"/>
      <c r="AR34" s="22">
        <f t="shared" si="0"/>
        <v>0</v>
      </c>
      <c r="AS34" s="22">
        <f t="shared" si="0"/>
        <v>0</v>
      </c>
      <c r="AT34" s="19" t="e">
        <f t="shared" si="2"/>
        <v>#DIV/0!</v>
      </c>
      <c r="AU34" s="2"/>
      <c r="AV34" s="29"/>
    </row>
    <row r="35" spans="2:48" ht="91.5" hidden="1" customHeight="1" x14ac:dyDescent="0.25">
      <c r="B35" s="34">
        <v>25</v>
      </c>
      <c r="C35" s="2" t="s">
        <v>710</v>
      </c>
      <c r="D35" s="6" t="s">
        <v>711</v>
      </c>
      <c r="E35" s="2" t="s">
        <v>712</v>
      </c>
      <c r="F35" s="6" t="s">
        <v>217</v>
      </c>
      <c r="G35" s="6" t="s">
        <v>218</v>
      </c>
      <c r="H35" s="2" t="s">
        <v>130</v>
      </c>
      <c r="I35" s="2" t="s">
        <v>42</v>
      </c>
      <c r="J35" s="2" t="s">
        <v>113</v>
      </c>
      <c r="K35" s="2" t="s">
        <v>44</v>
      </c>
      <c r="L35" s="2" t="s">
        <v>69</v>
      </c>
      <c r="M35" s="6" t="s">
        <v>219</v>
      </c>
      <c r="N35" s="6" t="s">
        <v>220</v>
      </c>
      <c r="O35" s="2"/>
      <c r="P35" s="2"/>
      <c r="Q35" s="5" t="s">
        <v>86</v>
      </c>
      <c r="R35" s="5" t="s">
        <v>72</v>
      </c>
      <c r="S35" s="43">
        <v>0.9</v>
      </c>
      <c r="T35" s="2"/>
      <c r="U35" s="2"/>
      <c r="V35" s="2"/>
      <c r="W35" s="2"/>
      <c r="X35" s="2">
        <v>92</v>
      </c>
      <c r="Y35" s="2">
        <v>92</v>
      </c>
      <c r="Z35" s="2"/>
      <c r="AA35" s="2"/>
      <c r="AB35" s="2"/>
      <c r="AC35" s="2"/>
      <c r="AD35" s="2"/>
      <c r="AE35" s="2"/>
      <c r="AF35" s="2"/>
      <c r="AG35" s="2"/>
      <c r="AH35" s="2"/>
      <c r="AI35" s="2"/>
      <c r="AJ35" s="2"/>
      <c r="AK35" s="2"/>
      <c r="AL35" s="2"/>
      <c r="AM35" s="2"/>
      <c r="AN35" s="2"/>
      <c r="AO35" s="2"/>
      <c r="AP35" s="2"/>
      <c r="AQ35" s="2"/>
      <c r="AR35" s="22">
        <f t="shared" si="0"/>
        <v>92</v>
      </c>
      <c r="AS35" s="22">
        <f t="shared" si="0"/>
        <v>92</v>
      </c>
      <c r="AT35" s="19">
        <f>+(AS35*25%)/AR35</f>
        <v>0.25</v>
      </c>
      <c r="AU35" s="21" t="s">
        <v>645</v>
      </c>
      <c r="AV35" s="29" t="s">
        <v>660</v>
      </c>
    </row>
    <row r="36" spans="2:48" ht="63.75" hidden="1" x14ac:dyDescent="0.25">
      <c r="B36" s="34">
        <v>26</v>
      </c>
      <c r="C36" s="2" t="s">
        <v>710</v>
      </c>
      <c r="D36" s="6" t="s">
        <v>711</v>
      </c>
      <c r="E36" s="2" t="s">
        <v>712</v>
      </c>
      <c r="F36" s="6" t="s">
        <v>223</v>
      </c>
      <c r="G36" s="6" t="s">
        <v>224</v>
      </c>
      <c r="H36" s="2" t="s">
        <v>130</v>
      </c>
      <c r="I36" s="2" t="s">
        <v>42</v>
      </c>
      <c r="J36" s="2" t="s">
        <v>113</v>
      </c>
      <c r="K36" s="2" t="s">
        <v>713</v>
      </c>
      <c r="L36" s="2" t="s">
        <v>69</v>
      </c>
      <c r="M36" s="6" t="s">
        <v>225</v>
      </c>
      <c r="N36" s="6" t="s">
        <v>226</v>
      </c>
      <c r="O36" s="2"/>
      <c r="P36" s="2"/>
      <c r="Q36" s="5" t="s">
        <v>86</v>
      </c>
      <c r="R36" s="5" t="s">
        <v>72</v>
      </c>
      <c r="S36" s="43">
        <v>0.9</v>
      </c>
      <c r="T36" s="2"/>
      <c r="U36" s="2"/>
      <c r="V36" s="2"/>
      <c r="W36" s="2"/>
      <c r="X36" s="2">
        <v>163</v>
      </c>
      <c r="Y36" s="2">
        <v>163</v>
      </c>
      <c r="Z36" s="2"/>
      <c r="AA36" s="2"/>
      <c r="AB36" s="2"/>
      <c r="AC36" s="2"/>
      <c r="AD36" s="2"/>
      <c r="AE36" s="2"/>
      <c r="AF36" s="2"/>
      <c r="AG36" s="2"/>
      <c r="AH36" s="2"/>
      <c r="AI36" s="2"/>
      <c r="AJ36" s="2"/>
      <c r="AK36" s="2"/>
      <c r="AL36" s="2"/>
      <c r="AM36" s="2"/>
      <c r="AN36" s="2"/>
      <c r="AO36" s="2"/>
      <c r="AP36" s="2"/>
      <c r="AQ36" s="2"/>
      <c r="AR36" s="22">
        <f t="shared" si="0"/>
        <v>163</v>
      </c>
      <c r="AS36" s="22">
        <f t="shared" si="0"/>
        <v>163</v>
      </c>
      <c r="AT36" s="19">
        <f>+(AS36*25%)/AR36</f>
        <v>0.25</v>
      </c>
      <c r="AU36" s="21" t="s">
        <v>645</v>
      </c>
      <c r="AV36" s="29" t="s">
        <v>660</v>
      </c>
    </row>
    <row r="37" spans="2:48" ht="63.75" hidden="1" x14ac:dyDescent="0.25">
      <c r="B37" s="34">
        <v>27</v>
      </c>
      <c r="C37" s="2" t="s">
        <v>710</v>
      </c>
      <c r="D37" s="6" t="s">
        <v>711</v>
      </c>
      <c r="E37" s="2" t="s">
        <v>714</v>
      </c>
      <c r="F37" s="6" t="s">
        <v>715</v>
      </c>
      <c r="G37" s="6" t="s">
        <v>716</v>
      </c>
      <c r="H37" s="2" t="s">
        <v>130</v>
      </c>
      <c r="I37" s="2" t="s">
        <v>42</v>
      </c>
      <c r="J37" s="2" t="s">
        <v>369</v>
      </c>
      <c r="K37" s="2" t="s">
        <v>44</v>
      </c>
      <c r="L37" s="2" t="s">
        <v>69</v>
      </c>
      <c r="M37" s="6" t="s">
        <v>717</v>
      </c>
      <c r="N37" s="6" t="s">
        <v>718</v>
      </c>
      <c r="O37" s="2"/>
      <c r="P37" s="2"/>
      <c r="Q37" s="5" t="s">
        <v>86</v>
      </c>
      <c r="R37" s="5" t="s">
        <v>72</v>
      </c>
      <c r="S37" s="43">
        <v>1</v>
      </c>
      <c r="T37" s="2"/>
      <c r="U37" s="2"/>
      <c r="V37" s="2"/>
      <c r="W37" s="2"/>
      <c r="X37" s="2">
        <v>1955</v>
      </c>
      <c r="Y37" s="2">
        <v>1955</v>
      </c>
      <c r="Z37" s="2"/>
      <c r="AA37" s="2"/>
      <c r="AB37" s="2"/>
      <c r="AC37" s="2"/>
      <c r="AD37" s="2"/>
      <c r="AE37" s="2"/>
      <c r="AF37" s="2"/>
      <c r="AG37" s="2"/>
      <c r="AH37" s="2"/>
      <c r="AI37" s="2"/>
      <c r="AJ37" s="2"/>
      <c r="AK37" s="2"/>
      <c r="AL37" s="2"/>
      <c r="AM37" s="2"/>
      <c r="AN37" s="2"/>
      <c r="AO37" s="2"/>
      <c r="AP37" s="2"/>
      <c r="AQ37" s="2"/>
      <c r="AR37" s="22">
        <f t="shared" si="0"/>
        <v>1955</v>
      </c>
      <c r="AS37" s="22">
        <f t="shared" si="0"/>
        <v>1955</v>
      </c>
      <c r="AT37" s="19">
        <f>+AS37/AR37</f>
        <v>1</v>
      </c>
      <c r="AU37" s="47" t="s">
        <v>666</v>
      </c>
      <c r="AV37" s="29"/>
    </row>
    <row r="38" spans="2:48" ht="76.5" x14ac:dyDescent="0.25">
      <c r="B38" s="34">
        <v>28</v>
      </c>
      <c r="C38" s="2" t="s">
        <v>710</v>
      </c>
      <c r="D38" s="6" t="s">
        <v>711</v>
      </c>
      <c r="E38" s="2" t="s">
        <v>712</v>
      </c>
      <c r="F38" s="6" t="s">
        <v>719</v>
      </c>
      <c r="G38" s="6" t="s">
        <v>720</v>
      </c>
      <c r="H38" s="2" t="s">
        <v>721</v>
      </c>
      <c r="I38" s="2" t="s">
        <v>42</v>
      </c>
      <c r="J38" s="2" t="s">
        <v>89</v>
      </c>
      <c r="K38" s="2" t="s">
        <v>44</v>
      </c>
      <c r="L38" s="2" t="s">
        <v>69</v>
      </c>
      <c r="M38" s="6" t="s">
        <v>722</v>
      </c>
      <c r="N38" s="6" t="s">
        <v>723</v>
      </c>
      <c r="O38" s="2"/>
      <c r="P38" s="2"/>
      <c r="Q38" s="5" t="s">
        <v>86</v>
      </c>
      <c r="R38" s="5" t="s">
        <v>724</v>
      </c>
      <c r="S38" s="43">
        <v>0</v>
      </c>
      <c r="T38" s="2"/>
      <c r="U38" s="2"/>
      <c r="V38" s="2"/>
      <c r="W38" s="2"/>
      <c r="X38" s="2">
        <v>89</v>
      </c>
      <c r="Y38" s="2">
        <v>0</v>
      </c>
      <c r="Z38" s="2"/>
      <c r="AA38" s="2"/>
      <c r="AB38" s="2"/>
      <c r="AC38" s="2"/>
      <c r="AD38" s="2"/>
      <c r="AE38" s="2"/>
      <c r="AF38" s="2"/>
      <c r="AG38" s="2"/>
      <c r="AH38" s="2"/>
      <c r="AI38" s="2"/>
      <c r="AJ38" s="2"/>
      <c r="AK38" s="2"/>
      <c r="AL38" s="2"/>
      <c r="AM38" s="2"/>
      <c r="AN38" s="2"/>
      <c r="AO38" s="2"/>
      <c r="AP38" s="2"/>
      <c r="AQ38" s="2"/>
      <c r="AR38" s="22">
        <f>+T38+V38+X38+Z38+AB38+AD38+AF38+AH38+AJ38+AL38+AN38+AP38</f>
        <v>89</v>
      </c>
      <c r="AS38" s="22">
        <f>+U38+W38+Y38+AA38+AC38+AE38+AG38+AI38+AK38+AM38+AO38+AQ38</f>
        <v>0</v>
      </c>
      <c r="AT38" s="19">
        <f>+AS38/AR38</f>
        <v>0</v>
      </c>
      <c r="AU38" s="47" t="s">
        <v>666</v>
      </c>
      <c r="AV38" s="29" t="s">
        <v>725</v>
      </c>
    </row>
    <row r="39" spans="2:48" ht="87" hidden="1" customHeight="1" x14ac:dyDescent="0.25">
      <c r="B39" s="34">
        <v>29</v>
      </c>
      <c r="C39" s="2" t="s">
        <v>726</v>
      </c>
      <c r="D39" s="6" t="s">
        <v>727</v>
      </c>
      <c r="E39" s="2" t="s">
        <v>728</v>
      </c>
      <c r="F39" s="6" t="s">
        <v>729</v>
      </c>
      <c r="G39" s="6" t="s">
        <v>250</v>
      </c>
      <c r="H39" s="2" t="s">
        <v>236</v>
      </c>
      <c r="I39" s="2" t="s">
        <v>42</v>
      </c>
      <c r="J39" s="2" t="s">
        <v>113</v>
      </c>
      <c r="K39" s="2" t="s">
        <v>44</v>
      </c>
      <c r="L39" s="2" t="s">
        <v>69</v>
      </c>
      <c r="M39" s="6" t="s">
        <v>730</v>
      </c>
      <c r="N39" s="6" t="s">
        <v>731</v>
      </c>
      <c r="O39" s="2"/>
      <c r="P39" s="2"/>
      <c r="Q39" s="5" t="s">
        <v>202</v>
      </c>
      <c r="R39" s="5" t="s">
        <v>72</v>
      </c>
      <c r="S39" s="43">
        <v>0.1</v>
      </c>
      <c r="T39" s="2"/>
      <c r="U39" s="2"/>
      <c r="V39" s="2"/>
      <c r="W39" s="2"/>
      <c r="X39" s="2">
        <v>71946</v>
      </c>
      <c r="Y39" s="2">
        <v>185655</v>
      </c>
      <c r="Z39" s="2"/>
      <c r="AA39" s="2"/>
      <c r="AB39" s="2"/>
      <c r="AC39" s="2"/>
      <c r="AD39" s="2"/>
      <c r="AE39" s="2"/>
      <c r="AF39" s="2"/>
      <c r="AG39" s="2"/>
      <c r="AH39" s="2"/>
      <c r="AI39" s="2"/>
      <c r="AJ39" s="2"/>
      <c r="AK39" s="2"/>
      <c r="AL39" s="2"/>
      <c r="AM39" s="2"/>
      <c r="AN39" s="2"/>
      <c r="AO39" s="2"/>
      <c r="AP39" s="2"/>
      <c r="AQ39" s="2"/>
      <c r="AR39" s="22">
        <f t="shared" si="0"/>
        <v>71946</v>
      </c>
      <c r="AS39" s="22">
        <f t="shared" si="0"/>
        <v>185655</v>
      </c>
      <c r="AT39" s="50">
        <f>+(AS39/AR39)-1</f>
        <v>1.5804770244349928</v>
      </c>
      <c r="AU39" s="47" t="s">
        <v>666</v>
      </c>
      <c r="AV39" s="29"/>
    </row>
    <row r="40" spans="2:48" ht="87" hidden="1" customHeight="1" x14ac:dyDescent="0.25">
      <c r="B40" s="34">
        <v>30</v>
      </c>
      <c r="C40" s="2" t="s">
        <v>726</v>
      </c>
      <c r="D40" s="6" t="s">
        <v>727</v>
      </c>
      <c r="E40" s="2" t="s">
        <v>728</v>
      </c>
      <c r="F40" s="6" t="s">
        <v>732</v>
      </c>
      <c r="G40" s="6" t="s">
        <v>733</v>
      </c>
      <c r="H40" s="2" t="s">
        <v>236</v>
      </c>
      <c r="I40" s="2" t="s">
        <v>42</v>
      </c>
      <c r="J40" s="2" t="s">
        <v>113</v>
      </c>
      <c r="K40" s="2" t="s">
        <v>44</v>
      </c>
      <c r="L40" s="2" t="s">
        <v>69</v>
      </c>
      <c r="M40" s="6" t="s">
        <v>734</v>
      </c>
      <c r="N40" s="6" t="s">
        <v>735</v>
      </c>
      <c r="O40" s="2"/>
      <c r="P40" s="2"/>
      <c r="Q40" s="5" t="s">
        <v>202</v>
      </c>
      <c r="R40" s="5" t="s">
        <v>72</v>
      </c>
      <c r="S40" s="43">
        <v>0.1</v>
      </c>
      <c r="T40" s="2"/>
      <c r="U40" s="2"/>
      <c r="V40" s="2"/>
      <c r="W40" s="2"/>
      <c r="X40" s="2">
        <v>157468</v>
      </c>
      <c r="Y40" s="2">
        <v>158377</v>
      </c>
      <c r="Z40" s="2"/>
      <c r="AA40" s="2"/>
      <c r="AB40" s="2"/>
      <c r="AC40" s="2"/>
      <c r="AD40" s="2"/>
      <c r="AE40" s="2"/>
      <c r="AF40" s="2"/>
      <c r="AG40" s="2"/>
      <c r="AH40" s="2"/>
      <c r="AI40" s="2"/>
      <c r="AJ40" s="2"/>
      <c r="AK40" s="2"/>
      <c r="AL40" s="2"/>
      <c r="AM40" s="2"/>
      <c r="AN40" s="2"/>
      <c r="AO40" s="2"/>
      <c r="AP40" s="2"/>
      <c r="AQ40" s="2"/>
      <c r="AR40" s="22">
        <f t="shared" si="0"/>
        <v>157468</v>
      </c>
      <c r="AS40" s="22">
        <f t="shared" si="0"/>
        <v>158377</v>
      </c>
      <c r="AT40" s="50">
        <f>+(AS40/AR40)-1</f>
        <v>5.772601417430856E-3</v>
      </c>
      <c r="AU40" s="21" t="s">
        <v>645</v>
      </c>
      <c r="AV40" s="29"/>
    </row>
    <row r="41" spans="2:48" ht="87" hidden="1" customHeight="1" x14ac:dyDescent="0.25">
      <c r="B41" s="34">
        <v>31</v>
      </c>
      <c r="C41" s="2" t="s">
        <v>726</v>
      </c>
      <c r="D41" s="6" t="s">
        <v>727</v>
      </c>
      <c r="E41" s="2" t="s">
        <v>736</v>
      </c>
      <c r="F41" s="6" t="s">
        <v>737</v>
      </c>
      <c r="G41" s="6" t="s">
        <v>235</v>
      </c>
      <c r="H41" s="2" t="s">
        <v>236</v>
      </c>
      <c r="I41" s="2" t="s">
        <v>141</v>
      </c>
      <c r="J41" s="2" t="s">
        <v>369</v>
      </c>
      <c r="K41" s="2" t="s">
        <v>237</v>
      </c>
      <c r="L41" s="2" t="s">
        <v>69</v>
      </c>
      <c r="M41" s="6" t="s">
        <v>738</v>
      </c>
      <c r="N41" s="6" t="s">
        <v>239</v>
      </c>
      <c r="O41" s="2"/>
      <c r="P41" s="2"/>
      <c r="Q41" s="5" t="s">
        <v>105</v>
      </c>
      <c r="R41" s="5" t="s">
        <v>72</v>
      </c>
      <c r="S41" s="5" t="s">
        <v>739</v>
      </c>
      <c r="T41" s="2"/>
      <c r="U41" s="2"/>
      <c r="V41" s="2"/>
      <c r="W41" s="2"/>
      <c r="X41" s="2">
        <v>157</v>
      </c>
      <c r="Y41" s="2">
        <v>195</v>
      </c>
      <c r="Z41" s="2"/>
      <c r="AA41" s="2"/>
      <c r="AB41" s="2"/>
      <c r="AC41" s="2"/>
      <c r="AD41" s="2"/>
      <c r="AE41" s="2"/>
      <c r="AF41" s="2"/>
      <c r="AG41" s="2"/>
      <c r="AH41" s="2"/>
      <c r="AI41" s="2"/>
      <c r="AJ41" s="2"/>
      <c r="AK41" s="2"/>
      <c r="AL41" s="2"/>
      <c r="AM41" s="2"/>
      <c r="AN41" s="2"/>
      <c r="AO41" s="2"/>
      <c r="AP41" s="2"/>
      <c r="AQ41" s="2"/>
      <c r="AR41" s="22">
        <f t="shared" si="0"/>
        <v>157</v>
      </c>
      <c r="AS41" s="22">
        <f t="shared" si="0"/>
        <v>195</v>
      </c>
      <c r="AT41" s="53">
        <f>+AS41/AR41</f>
        <v>1.2420382165605095</v>
      </c>
      <c r="AU41" s="47" t="s">
        <v>666</v>
      </c>
      <c r="AV41" s="29"/>
    </row>
    <row r="42" spans="2:48" ht="102" hidden="1" customHeight="1" x14ac:dyDescent="0.25">
      <c r="B42" s="34">
        <v>32</v>
      </c>
      <c r="C42" s="2" t="s">
        <v>740</v>
      </c>
      <c r="D42" s="6" t="s">
        <v>741</v>
      </c>
      <c r="E42" s="2" t="s">
        <v>742</v>
      </c>
      <c r="F42" s="6" t="s">
        <v>54</v>
      </c>
      <c r="G42" s="6" t="s">
        <v>55</v>
      </c>
      <c r="H42" s="2" t="s">
        <v>56</v>
      </c>
      <c r="I42" s="1" t="s">
        <v>42</v>
      </c>
      <c r="J42" s="1" t="s">
        <v>369</v>
      </c>
      <c r="K42" s="2" t="s">
        <v>44</v>
      </c>
      <c r="L42" s="2" t="s">
        <v>45</v>
      </c>
      <c r="M42" s="6" t="s">
        <v>57</v>
      </c>
      <c r="N42" s="6" t="s">
        <v>58</v>
      </c>
      <c r="O42" s="2"/>
      <c r="P42" s="2"/>
      <c r="Q42" s="5" t="s">
        <v>59</v>
      </c>
      <c r="R42" s="5" t="s">
        <v>72</v>
      </c>
      <c r="S42" s="43">
        <v>0.2</v>
      </c>
      <c r="T42" s="2">
        <v>50</v>
      </c>
      <c r="U42" s="2">
        <v>5</v>
      </c>
      <c r="V42" s="2">
        <v>50</v>
      </c>
      <c r="W42" s="2">
        <v>16</v>
      </c>
      <c r="X42" s="2">
        <v>50</v>
      </c>
      <c r="Y42" s="2">
        <v>8</v>
      </c>
      <c r="Z42" s="2"/>
      <c r="AA42" s="2"/>
      <c r="AB42" s="2"/>
      <c r="AC42" s="2"/>
      <c r="AD42" s="2"/>
      <c r="AE42" s="2"/>
      <c r="AF42" s="2"/>
      <c r="AG42" s="2"/>
      <c r="AH42" s="2"/>
      <c r="AI42" s="2"/>
      <c r="AJ42" s="2"/>
      <c r="AK42" s="2"/>
      <c r="AL42" s="2"/>
      <c r="AM42" s="2"/>
      <c r="AN42" s="2"/>
      <c r="AO42" s="2"/>
      <c r="AP42" s="2"/>
      <c r="AQ42" s="2"/>
      <c r="AR42" s="22">
        <f t="shared" si="0"/>
        <v>150</v>
      </c>
      <c r="AS42" s="22">
        <f t="shared" si="0"/>
        <v>29</v>
      </c>
      <c r="AT42" s="50">
        <f>+AS42/AR42</f>
        <v>0.19333333333333333</v>
      </c>
      <c r="AU42" s="47" t="s">
        <v>666</v>
      </c>
      <c r="AV42" s="29"/>
    </row>
    <row r="43" spans="2:48" ht="102" hidden="1" customHeight="1" x14ac:dyDescent="0.25">
      <c r="B43" s="34">
        <v>33</v>
      </c>
      <c r="C43" s="2" t="s">
        <v>740</v>
      </c>
      <c r="D43" s="6" t="s">
        <v>741</v>
      </c>
      <c r="E43" s="2" t="s">
        <v>743</v>
      </c>
      <c r="F43" s="6" t="s">
        <v>263</v>
      </c>
      <c r="G43" s="6" t="s">
        <v>264</v>
      </c>
      <c r="H43" s="2" t="s">
        <v>56</v>
      </c>
      <c r="I43" s="2" t="s">
        <v>141</v>
      </c>
      <c r="J43" s="2" t="s">
        <v>369</v>
      </c>
      <c r="K43" s="2" t="s">
        <v>44</v>
      </c>
      <c r="L43" s="2" t="s">
        <v>45</v>
      </c>
      <c r="M43" s="6" t="s">
        <v>744</v>
      </c>
      <c r="N43" s="6" t="s">
        <v>266</v>
      </c>
      <c r="O43" s="2"/>
      <c r="P43" s="2"/>
      <c r="Q43" s="5" t="s">
        <v>59</v>
      </c>
      <c r="R43" s="5" t="s">
        <v>72</v>
      </c>
      <c r="S43" s="43" t="s">
        <v>745</v>
      </c>
      <c r="T43" s="2">
        <v>843824</v>
      </c>
      <c r="U43" s="2">
        <v>58819</v>
      </c>
      <c r="V43" s="2">
        <v>868229</v>
      </c>
      <c r="W43" s="2">
        <v>78432</v>
      </c>
      <c r="X43" s="2">
        <v>1698995</v>
      </c>
      <c r="Y43" s="2">
        <v>711646</v>
      </c>
      <c r="Z43" s="2"/>
      <c r="AA43" s="2"/>
      <c r="AB43" s="2"/>
      <c r="AC43" s="2"/>
      <c r="AD43" s="2"/>
      <c r="AE43" s="2"/>
      <c r="AF43" s="2"/>
      <c r="AG43" s="2"/>
      <c r="AH43" s="2"/>
      <c r="AI43" s="2"/>
      <c r="AJ43" s="2"/>
      <c r="AK43" s="2"/>
      <c r="AL43" s="2"/>
      <c r="AM43" s="2"/>
      <c r="AN43" s="2"/>
      <c r="AO43" s="2"/>
      <c r="AP43" s="2"/>
      <c r="AQ43" s="2"/>
      <c r="AR43" s="22">
        <f t="shared" si="0"/>
        <v>3411048</v>
      </c>
      <c r="AS43" s="22">
        <f t="shared" si="0"/>
        <v>848897</v>
      </c>
      <c r="AT43" s="50">
        <f>+AS43/AR43</f>
        <v>0.24886691714687098</v>
      </c>
      <c r="AU43" s="21" t="s">
        <v>645</v>
      </c>
      <c r="AV43" s="29"/>
    </row>
    <row r="44" spans="2:48" ht="102" hidden="1" customHeight="1" x14ac:dyDescent="0.25">
      <c r="B44" s="34">
        <v>34</v>
      </c>
      <c r="C44" s="2" t="s">
        <v>740</v>
      </c>
      <c r="D44" s="6" t="s">
        <v>741</v>
      </c>
      <c r="E44" s="2" t="s">
        <v>746</v>
      </c>
      <c r="F44" s="6" t="s">
        <v>270</v>
      </c>
      <c r="G44" s="6" t="s">
        <v>271</v>
      </c>
      <c r="H44" s="2" t="s">
        <v>56</v>
      </c>
      <c r="I44" s="2" t="s">
        <v>141</v>
      </c>
      <c r="J44" s="2" t="s">
        <v>369</v>
      </c>
      <c r="K44" s="2" t="s">
        <v>44</v>
      </c>
      <c r="L44" s="2" t="s">
        <v>45</v>
      </c>
      <c r="M44" s="6" t="s">
        <v>747</v>
      </c>
      <c r="N44" s="6" t="s">
        <v>748</v>
      </c>
      <c r="O44" s="2"/>
      <c r="P44" s="2"/>
      <c r="Q44" s="5" t="s">
        <v>59</v>
      </c>
      <c r="R44" s="5" t="s">
        <v>72</v>
      </c>
      <c r="S44" s="43">
        <v>0.9</v>
      </c>
      <c r="T44" s="2">
        <v>547087</v>
      </c>
      <c r="U44" s="2">
        <v>413522</v>
      </c>
      <c r="V44" s="2">
        <v>547785</v>
      </c>
      <c r="W44" s="2">
        <v>394171</v>
      </c>
      <c r="X44" s="2">
        <v>569040</v>
      </c>
      <c r="Y44" s="2">
        <v>264846</v>
      </c>
      <c r="Z44" s="2"/>
      <c r="AA44" s="2"/>
      <c r="AB44" s="2"/>
      <c r="AC44" s="2"/>
      <c r="AD44" s="2"/>
      <c r="AE44" s="2"/>
      <c r="AF44" s="2"/>
      <c r="AG44" s="2"/>
      <c r="AH44" s="2"/>
      <c r="AI44" s="2"/>
      <c r="AJ44" s="2"/>
      <c r="AK44" s="2"/>
      <c r="AL44" s="2"/>
      <c r="AM44" s="2"/>
      <c r="AN44" s="2"/>
      <c r="AO44" s="2"/>
      <c r="AP44" s="2"/>
      <c r="AQ44" s="2"/>
      <c r="AR44" s="22">
        <f t="shared" si="0"/>
        <v>1663912</v>
      </c>
      <c r="AS44" s="22">
        <f t="shared" si="0"/>
        <v>1072539</v>
      </c>
      <c r="AT44" s="50">
        <f>+AS44/AR44</f>
        <v>0.64458877632951739</v>
      </c>
      <c r="AU44" s="21" t="s">
        <v>645</v>
      </c>
      <c r="AV44" s="29"/>
    </row>
    <row r="45" spans="2:48" ht="93.75" hidden="1" customHeight="1" x14ac:dyDescent="0.25">
      <c r="B45" s="34">
        <v>35</v>
      </c>
      <c r="C45" s="2" t="s">
        <v>749</v>
      </c>
      <c r="D45" s="6" t="s">
        <v>750</v>
      </c>
      <c r="E45" s="2" t="s">
        <v>751</v>
      </c>
      <c r="F45" s="6" t="s">
        <v>278</v>
      </c>
      <c r="G45" s="6" t="s">
        <v>279</v>
      </c>
      <c r="H45" s="2" t="s">
        <v>280</v>
      </c>
      <c r="I45" s="2" t="s">
        <v>42</v>
      </c>
      <c r="J45" s="2" t="s">
        <v>369</v>
      </c>
      <c r="K45" s="2" t="s">
        <v>44</v>
      </c>
      <c r="L45" s="2" t="s">
        <v>69</v>
      </c>
      <c r="M45" s="6" t="s">
        <v>281</v>
      </c>
      <c r="N45" s="6" t="s">
        <v>282</v>
      </c>
      <c r="O45" s="2"/>
      <c r="P45" s="2"/>
      <c r="Q45" s="5" t="s">
        <v>59</v>
      </c>
      <c r="R45" s="5" t="s">
        <v>72</v>
      </c>
      <c r="S45" s="43">
        <v>1</v>
      </c>
      <c r="T45" s="2"/>
      <c r="U45" s="2"/>
      <c r="V45" s="2"/>
      <c r="W45" s="2"/>
      <c r="X45" s="2">
        <v>35</v>
      </c>
      <c r="Y45" s="2">
        <v>35</v>
      </c>
      <c r="Z45" s="2"/>
      <c r="AA45" s="2"/>
      <c r="AB45" s="2"/>
      <c r="AC45" s="2"/>
      <c r="AD45" s="2"/>
      <c r="AE45" s="2"/>
      <c r="AF45" s="2"/>
      <c r="AG45" s="2"/>
      <c r="AH45" s="2"/>
      <c r="AI45" s="2"/>
      <c r="AJ45" s="2"/>
      <c r="AK45" s="2"/>
      <c r="AL45" s="2"/>
      <c r="AM45" s="2"/>
      <c r="AN45" s="2"/>
      <c r="AO45" s="2"/>
      <c r="AP45" s="2"/>
      <c r="AQ45" s="2"/>
      <c r="AR45" s="22">
        <f t="shared" si="0"/>
        <v>35</v>
      </c>
      <c r="AS45" s="22">
        <f t="shared" si="0"/>
        <v>35</v>
      </c>
      <c r="AT45" s="19">
        <f>+AS45/AR45</f>
        <v>1</v>
      </c>
      <c r="AU45" s="47" t="s">
        <v>666</v>
      </c>
      <c r="AV45" s="29"/>
    </row>
    <row r="46" spans="2:48" ht="78.75" hidden="1" customHeight="1" x14ac:dyDescent="0.25">
      <c r="B46" s="34">
        <v>36</v>
      </c>
      <c r="C46" s="2" t="s">
        <v>749</v>
      </c>
      <c r="D46" s="6" t="s">
        <v>750</v>
      </c>
      <c r="E46" s="6" t="s">
        <v>752</v>
      </c>
      <c r="F46" s="6" t="s">
        <v>343</v>
      </c>
      <c r="G46" s="6" t="s">
        <v>344</v>
      </c>
      <c r="H46" s="2" t="s">
        <v>280</v>
      </c>
      <c r="I46" s="2" t="s">
        <v>42</v>
      </c>
      <c r="J46" s="2" t="s">
        <v>113</v>
      </c>
      <c r="K46" s="2" t="s">
        <v>44</v>
      </c>
      <c r="L46" s="2" t="s">
        <v>69</v>
      </c>
      <c r="M46" s="6" t="s">
        <v>345</v>
      </c>
      <c r="N46" s="6" t="s">
        <v>346</v>
      </c>
      <c r="O46" s="2"/>
      <c r="P46" s="2"/>
      <c r="Q46" s="5" t="s">
        <v>59</v>
      </c>
      <c r="R46" s="5" t="s">
        <v>72</v>
      </c>
      <c r="S46" s="43">
        <v>1</v>
      </c>
      <c r="T46" s="2"/>
      <c r="U46" s="2"/>
      <c r="V46" s="2"/>
      <c r="W46" s="2"/>
      <c r="X46" s="2">
        <v>21</v>
      </c>
      <c r="Y46" s="2">
        <v>21</v>
      </c>
      <c r="Z46" s="2"/>
      <c r="AA46" s="2"/>
      <c r="AB46" s="2"/>
      <c r="AC46" s="2"/>
      <c r="AD46" s="2"/>
      <c r="AE46" s="2"/>
      <c r="AF46" s="2"/>
      <c r="AG46" s="2"/>
      <c r="AH46" s="2"/>
      <c r="AI46" s="2"/>
      <c r="AJ46" s="2"/>
      <c r="AK46" s="2"/>
      <c r="AL46" s="2"/>
      <c r="AM46" s="2"/>
      <c r="AN46" s="2"/>
      <c r="AO46" s="2"/>
      <c r="AP46" s="2"/>
      <c r="AQ46" s="2"/>
      <c r="AR46" s="22">
        <f t="shared" si="0"/>
        <v>21</v>
      </c>
      <c r="AS46" s="22">
        <f t="shared" si="0"/>
        <v>21</v>
      </c>
      <c r="AT46" s="19">
        <f t="shared" ref="AT46:AT65" si="3">+AS46/AR46</f>
        <v>1</v>
      </c>
      <c r="AU46" s="47" t="s">
        <v>666</v>
      </c>
      <c r="AV46" s="29"/>
    </row>
    <row r="47" spans="2:48" ht="93.75" hidden="1" customHeight="1" x14ac:dyDescent="0.25">
      <c r="B47" s="34">
        <v>37</v>
      </c>
      <c r="C47" s="2" t="s">
        <v>749</v>
      </c>
      <c r="D47" s="6" t="s">
        <v>750</v>
      </c>
      <c r="E47" s="6" t="s">
        <v>752</v>
      </c>
      <c r="F47" s="6" t="s">
        <v>348</v>
      </c>
      <c r="G47" s="6" t="s">
        <v>349</v>
      </c>
      <c r="H47" s="2" t="s">
        <v>280</v>
      </c>
      <c r="I47" s="2" t="s">
        <v>42</v>
      </c>
      <c r="J47" s="2" t="s">
        <v>369</v>
      </c>
      <c r="K47" s="2" t="s">
        <v>753</v>
      </c>
      <c r="L47" s="2" t="s">
        <v>69</v>
      </c>
      <c r="M47" s="6" t="s">
        <v>350</v>
      </c>
      <c r="N47" s="6" t="s">
        <v>351</v>
      </c>
      <c r="O47" s="2"/>
      <c r="P47" s="2"/>
      <c r="Q47" s="5" t="s">
        <v>59</v>
      </c>
      <c r="R47" s="5" t="s">
        <v>72</v>
      </c>
      <c r="S47" s="43">
        <v>1</v>
      </c>
      <c r="T47" s="2"/>
      <c r="U47" s="2"/>
      <c r="V47" s="2"/>
      <c r="W47" s="2"/>
      <c r="X47" s="2">
        <v>1376</v>
      </c>
      <c r="Y47" s="2">
        <v>1376</v>
      </c>
      <c r="Z47" s="2"/>
      <c r="AA47" s="2"/>
      <c r="AB47" s="2"/>
      <c r="AC47" s="2"/>
      <c r="AD47" s="2"/>
      <c r="AE47" s="2"/>
      <c r="AF47" s="2"/>
      <c r="AG47" s="2"/>
      <c r="AH47" s="2"/>
      <c r="AI47" s="2"/>
      <c r="AJ47" s="2"/>
      <c r="AK47" s="2"/>
      <c r="AL47" s="2"/>
      <c r="AM47" s="2"/>
      <c r="AN47" s="2"/>
      <c r="AO47" s="2"/>
      <c r="AP47" s="2"/>
      <c r="AQ47" s="2"/>
      <c r="AR47" s="22">
        <f t="shared" si="0"/>
        <v>1376</v>
      </c>
      <c r="AS47" s="22">
        <f t="shared" si="0"/>
        <v>1376</v>
      </c>
      <c r="AT47" s="19">
        <f t="shared" si="3"/>
        <v>1</v>
      </c>
      <c r="AU47" s="47" t="s">
        <v>666</v>
      </c>
      <c r="AV47" s="29"/>
    </row>
    <row r="48" spans="2:48" ht="93.75" hidden="1" customHeight="1" x14ac:dyDescent="0.25">
      <c r="B48" s="34">
        <v>38</v>
      </c>
      <c r="C48" s="2" t="s">
        <v>749</v>
      </c>
      <c r="D48" s="6" t="s">
        <v>750</v>
      </c>
      <c r="E48" s="6" t="s">
        <v>752</v>
      </c>
      <c r="F48" s="6" t="s">
        <v>354</v>
      </c>
      <c r="G48" s="6" t="s">
        <v>355</v>
      </c>
      <c r="H48" s="2" t="s">
        <v>280</v>
      </c>
      <c r="I48" s="2" t="s">
        <v>42</v>
      </c>
      <c r="J48" s="2" t="s">
        <v>369</v>
      </c>
      <c r="K48" s="2" t="s">
        <v>44</v>
      </c>
      <c r="L48" s="2" t="s">
        <v>69</v>
      </c>
      <c r="M48" s="6" t="s">
        <v>356</v>
      </c>
      <c r="N48" s="6" t="s">
        <v>357</v>
      </c>
      <c r="O48" s="2"/>
      <c r="P48" s="2"/>
      <c r="Q48" s="5" t="s">
        <v>59</v>
      </c>
      <c r="R48" s="5" t="s">
        <v>72</v>
      </c>
      <c r="S48" s="43">
        <v>1</v>
      </c>
      <c r="T48" s="2"/>
      <c r="U48" s="2"/>
      <c r="V48" s="2"/>
      <c r="W48" s="2"/>
      <c r="X48" s="2">
        <v>14565</v>
      </c>
      <c r="Y48" s="2">
        <v>14565</v>
      </c>
      <c r="Z48" s="2"/>
      <c r="AA48" s="2"/>
      <c r="AB48" s="2"/>
      <c r="AC48" s="2"/>
      <c r="AD48" s="2"/>
      <c r="AE48" s="2"/>
      <c r="AF48" s="2"/>
      <c r="AG48" s="2"/>
      <c r="AH48" s="2"/>
      <c r="AI48" s="2"/>
      <c r="AJ48" s="2"/>
      <c r="AK48" s="2"/>
      <c r="AL48" s="2"/>
      <c r="AM48" s="2"/>
      <c r="AN48" s="2"/>
      <c r="AO48" s="2"/>
      <c r="AP48" s="2"/>
      <c r="AQ48" s="2"/>
      <c r="AR48" s="22">
        <f t="shared" si="0"/>
        <v>14565</v>
      </c>
      <c r="AS48" s="22">
        <f t="shared" si="0"/>
        <v>14565</v>
      </c>
      <c r="AT48" s="19">
        <f t="shared" si="3"/>
        <v>1</v>
      </c>
      <c r="AU48" s="47" t="s">
        <v>666</v>
      </c>
      <c r="AV48" s="29"/>
    </row>
    <row r="49" spans="2:48" ht="93.75" hidden="1" customHeight="1" x14ac:dyDescent="0.25">
      <c r="B49" s="34">
        <v>39</v>
      </c>
      <c r="C49" s="2" t="s">
        <v>749</v>
      </c>
      <c r="D49" s="6" t="s">
        <v>750</v>
      </c>
      <c r="E49" s="6" t="s">
        <v>752</v>
      </c>
      <c r="F49" s="6" t="s">
        <v>754</v>
      </c>
      <c r="G49" s="6" t="s">
        <v>755</v>
      </c>
      <c r="H49" s="2" t="s">
        <v>280</v>
      </c>
      <c r="I49" s="2" t="s">
        <v>42</v>
      </c>
      <c r="J49" s="2" t="s">
        <v>113</v>
      </c>
      <c r="K49" s="2" t="s">
        <v>44</v>
      </c>
      <c r="L49" s="2" t="s">
        <v>69</v>
      </c>
      <c r="M49" s="6" t="s">
        <v>756</v>
      </c>
      <c r="N49" s="6" t="s">
        <v>381</v>
      </c>
      <c r="O49" s="2"/>
      <c r="P49" s="2"/>
      <c r="Q49" s="5" t="s">
        <v>59</v>
      </c>
      <c r="R49" s="5" t="s">
        <v>72</v>
      </c>
      <c r="S49" s="43">
        <v>1</v>
      </c>
      <c r="T49" s="2"/>
      <c r="U49" s="2"/>
      <c r="V49" s="2"/>
      <c r="W49" s="2"/>
      <c r="X49" s="2">
        <v>1</v>
      </c>
      <c r="Y49" s="2">
        <v>1</v>
      </c>
      <c r="Z49" s="2"/>
      <c r="AA49" s="2"/>
      <c r="AB49" s="2"/>
      <c r="AC49" s="2"/>
      <c r="AD49" s="2"/>
      <c r="AE49" s="2"/>
      <c r="AF49" s="2"/>
      <c r="AG49" s="2"/>
      <c r="AH49" s="2"/>
      <c r="AI49" s="2"/>
      <c r="AJ49" s="2"/>
      <c r="AK49" s="2"/>
      <c r="AL49" s="2"/>
      <c r="AM49" s="2"/>
      <c r="AN49" s="2"/>
      <c r="AO49" s="2"/>
      <c r="AP49" s="2"/>
      <c r="AQ49" s="2"/>
      <c r="AR49" s="22">
        <f t="shared" si="0"/>
        <v>1</v>
      </c>
      <c r="AS49" s="22">
        <f t="shared" si="0"/>
        <v>1</v>
      </c>
      <c r="AT49" s="19">
        <f t="shared" si="3"/>
        <v>1</v>
      </c>
      <c r="AU49" s="47" t="s">
        <v>666</v>
      </c>
      <c r="AV49" s="29"/>
    </row>
    <row r="50" spans="2:48" ht="93.75" hidden="1" customHeight="1" x14ac:dyDescent="0.25">
      <c r="B50" s="34">
        <v>40</v>
      </c>
      <c r="C50" s="2" t="s">
        <v>749</v>
      </c>
      <c r="D50" s="6" t="s">
        <v>750</v>
      </c>
      <c r="E50" s="6" t="s">
        <v>750</v>
      </c>
      <c r="F50" s="6" t="s">
        <v>757</v>
      </c>
      <c r="G50" s="6" t="s">
        <v>758</v>
      </c>
      <c r="H50" s="2" t="s">
        <v>280</v>
      </c>
      <c r="I50" s="2" t="s">
        <v>42</v>
      </c>
      <c r="J50" s="2" t="s">
        <v>369</v>
      </c>
      <c r="K50" s="2" t="s">
        <v>44</v>
      </c>
      <c r="L50" s="2" t="s">
        <v>295</v>
      </c>
      <c r="M50" s="6" t="s">
        <v>759</v>
      </c>
      <c r="N50" s="6" t="s">
        <v>760</v>
      </c>
      <c r="O50" s="2"/>
      <c r="P50" s="2"/>
      <c r="Q50" s="5" t="s">
        <v>59</v>
      </c>
      <c r="R50" s="5" t="s">
        <v>72</v>
      </c>
      <c r="S50" s="43">
        <v>1</v>
      </c>
      <c r="T50" s="2"/>
      <c r="U50" s="2"/>
      <c r="V50" s="2"/>
      <c r="W50" s="2"/>
      <c r="X50" s="2">
        <v>50</v>
      </c>
      <c r="Y50" s="2">
        <v>50</v>
      </c>
      <c r="Z50" s="2"/>
      <c r="AA50" s="2"/>
      <c r="AB50" s="2"/>
      <c r="AC50" s="2"/>
      <c r="AD50" s="2"/>
      <c r="AE50" s="2"/>
      <c r="AF50" s="2"/>
      <c r="AG50" s="2"/>
      <c r="AH50" s="2"/>
      <c r="AI50" s="2"/>
      <c r="AJ50" s="2"/>
      <c r="AK50" s="2"/>
      <c r="AL50" s="2"/>
      <c r="AM50" s="2"/>
      <c r="AN50" s="2"/>
      <c r="AO50" s="2"/>
      <c r="AP50" s="2"/>
      <c r="AQ50" s="2"/>
      <c r="AR50" s="22">
        <f t="shared" si="0"/>
        <v>50</v>
      </c>
      <c r="AS50" s="22">
        <f t="shared" si="0"/>
        <v>50</v>
      </c>
      <c r="AT50" s="19">
        <f t="shared" si="3"/>
        <v>1</v>
      </c>
      <c r="AU50" s="47" t="s">
        <v>666</v>
      </c>
      <c r="AV50" s="29"/>
    </row>
    <row r="51" spans="2:48" ht="93.75" customHeight="1" x14ac:dyDescent="0.25">
      <c r="B51" s="34">
        <v>9</v>
      </c>
      <c r="C51" s="2" t="s">
        <v>749</v>
      </c>
      <c r="D51" s="6" t="s">
        <v>750</v>
      </c>
      <c r="E51" s="6" t="s">
        <v>752</v>
      </c>
      <c r="F51" s="6" t="s">
        <v>761</v>
      </c>
      <c r="G51" s="6" t="s">
        <v>762</v>
      </c>
      <c r="H51" s="2" t="s">
        <v>280</v>
      </c>
      <c r="I51" s="2" t="s">
        <v>42</v>
      </c>
      <c r="J51" s="2" t="s">
        <v>113</v>
      </c>
      <c r="K51" s="2" t="s">
        <v>44</v>
      </c>
      <c r="L51" s="2" t="s">
        <v>295</v>
      </c>
      <c r="M51" s="6" t="s">
        <v>380</v>
      </c>
      <c r="N51" s="6" t="s">
        <v>763</v>
      </c>
      <c r="O51" s="2"/>
      <c r="P51" s="2"/>
      <c r="Q51" s="5" t="s">
        <v>59</v>
      </c>
      <c r="R51" s="5" t="s">
        <v>724</v>
      </c>
      <c r="S51" s="43">
        <v>0</v>
      </c>
      <c r="T51" s="2"/>
      <c r="U51" s="2"/>
      <c r="V51" s="2"/>
      <c r="W51" s="2"/>
      <c r="X51" s="2">
        <v>0</v>
      </c>
      <c r="Y51" s="2">
        <v>0</v>
      </c>
      <c r="Z51" s="2"/>
      <c r="AA51" s="2"/>
      <c r="AB51" s="2"/>
      <c r="AC51" s="2"/>
      <c r="AD51" s="2"/>
      <c r="AE51" s="2"/>
      <c r="AF51" s="2"/>
      <c r="AG51" s="2"/>
      <c r="AH51" s="2"/>
      <c r="AI51" s="2"/>
      <c r="AJ51" s="2"/>
      <c r="AK51" s="2"/>
      <c r="AL51" s="2"/>
      <c r="AM51" s="2"/>
      <c r="AN51" s="2"/>
      <c r="AO51" s="2"/>
      <c r="AP51" s="2"/>
      <c r="AQ51" s="2"/>
      <c r="AR51" s="22">
        <f t="shared" si="0"/>
        <v>0</v>
      </c>
      <c r="AS51" s="22">
        <f t="shared" si="0"/>
        <v>0</v>
      </c>
      <c r="AT51" s="19" t="e">
        <f t="shared" si="3"/>
        <v>#DIV/0!</v>
      </c>
      <c r="AU51" s="2"/>
      <c r="AV51" s="29" t="s">
        <v>764</v>
      </c>
    </row>
    <row r="52" spans="2:48" ht="108" hidden="1" customHeight="1" x14ac:dyDescent="0.25">
      <c r="B52" s="34">
        <v>42</v>
      </c>
      <c r="C52" s="2" t="s">
        <v>749</v>
      </c>
      <c r="D52" s="6" t="s">
        <v>750</v>
      </c>
      <c r="E52" s="6" t="s">
        <v>752</v>
      </c>
      <c r="F52" s="6" t="s">
        <v>765</v>
      </c>
      <c r="G52" s="6" t="s">
        <v>766</v>
      </c>
      <c r="H52" s="2" t="s">
        <v>280</v>
      </c>
      <c r="I52" s="2" t="s">
        <v>42</v>
      </c>
      <c r="J52" s="2" t="s">
        <v>113</v>
      </c>
      <c r="K52" s="2" t="s">
        <v>44</v>
      </c>
      <c r="L52" s="2" t="s">
        <v>295</v>
      </c>
      <c r="M52" s="6" t="s">
        <v>380</v>
      </c>
      <c r="N52" s="6" t="s">
        <v>381</v>
      </c>
      <c r="O52" s="2"/>
      <c r="P52" s="2"/>
      <c r="Q52" s="5" t="s">
        <v>59</v>
      </c>
      <c r="R52" s="5" t="s">
        <v>72</v>
      </c>
      <c r="S52" s="43">
        <v>1</v>
      </c>
      <c r="T52" s="2"/>
      <c r="U52" s="2"/>
      <c r="V52" s="2"/>
      <c r="W52" s="2"/>
      <c r="X52" s="2">
        <v>3</v>
      </c>
      <c r="Y52" s="2">
        <v>3</v>
      </c>
      <c r="Z52" s="2"/>
      <c r="AA52" s="2"/>
      <c r="AB52" s="2"/>
      <c r="AC52" s="2"/>
      <c r="AD52" s="2"/>
      <c r="AE52" s="2"/>
      <c r="AF52" s="2"/>
      <c r="AG52" s="2"/>
      <c r="AH52" s="2"/>
      <c r="AI52" s="2"/>
      <c r="AJ52" s="2"/>
      <c r="AK52" s="2"/>
      <c r="AL52" s="2"/>
      <c r="AM52" s="2"/>
      <c r="AN52" s="2"/>
      <c r="AO52" s="2"/>
      <c r="AP52" s="2"/>
      <c r="AQ52" s="2"/>
      <c r="AR52" s="22">
        <f t="shared" si="0"/>
        <v>3</v>
      </c>
      <c r="AS52" s="22">
        <f t="shared" si="0"/>
        <v>3</v>
      </c>
      <c r="AT52" s="19">
        <f t="shared" si="3"/>
        <v>1</v>
      </c>
      <c r="AU52" s="47" t="s">
        <v>666</v>
      </c>
      <c r="AV52" s="29"/>
    </row>
    <row r="53" spans="2:48" ht="112.5" hidden="1" customHeight="1" x14ac:dyDescent="0.25">
      <c r="B53" s="34">
        <v>43</v>
      </c>
      <c r="C53" s="2" t="s">
        <v>749</v>
      </c>
      <c r="D53" s="6" t="s">
        <v>750</v>
      </c>
      <c r="E53" s="2" t="s">
        <v>752</v>
      </c>
      <c r="F53" s="6" t="s">
        <v>767</v>
      </c>
      <c r="G53" s="6" t="s">
        <v>768</v>
      </c>
      <c r="H53" s="2" t="s">
        <v>280</v>
      </c>
      <c r="I53" s="2" t="s">
        <v>42</v>
      </c>
      <c r="J53" s="2" t="s">
        <v>113</v>
      </c>
      <c r="K53" s="2" t="s">
        <v>44</v>
      </c>
      <c r="L53" s="2" t="s">
        <v>295</v>
      </c>
      <c r="M53" s="6" t="s">
        <v>769</v>
      </c>
      <c r="N53" s="6" t="s">
        <v>770</v>
      </c>
      <c r="O53" s="2"/>
      <c r="P53" s="2"/>
      <c r="Q53" s="5" t="s">
        <v>59</v>
      </c>
      <c r="R53" s="5" t="s">
        <v>72</v>
      </c>
      <c r="S53" s="43">
        <v>1</v>
      </c>
      <c r="T53" s="2"/>
      <c r="U53" s="2"/>
      <c r="V53" s="2"/>
      <c r="W53" s="2"/>
      <c r="X53" s="2">
        <v>1</v>
      </c>
      <c r="Y53" s="2">
        <v>1</v>
      </c>
      <c r="Z53" s="2"/>
      <c r="AA53" s="2"/>
      <c r="AB53" s="2"/>
      <c r="AC53" s="2"/>
      <c r="AD53" s="2"/>
      <c r="AE53" s="2"/>
      <c r="AF53" s="2"/>
      <c r="AG53" s="2"/>
      <c r="AH53" s="2"/>
      <c r="AI53" s="2"/>
      <c r="AJ53" s="2"/>
      <c r="AK53" s="2"/>
      <c r="AL53" s="2"/>
      <c r="AM53" s="2"/>
      <c r="AN53" s="2"/>
      <c r="AO53" s="2"/>
      <c r="AP53" s="2"/>
      <c r="AQ53" s="2"/>
      <c r="AR53" s="22">
        <f t="shared" si="0"/>
        <v>1</v>
      </c>
      <c r="AS53" s="22">
        <f t="shared" si="0"/>
        <v>1</v>
      </c>
      <c r="AT53" s="19">
        <f t="shared" si="3"/>
        <v>1</v>
      </c>
      <c r="AU53" s="47" t="s">
        <v>666</v>
      </c>
      <c r="AV53" s="29"/>
    </row>
    <row r="54" spans="2:48" ht="153" hidden="1" x14ac:dyDescent="0.25">
      <c r="B54" s="34">
        <v>44</v>
      </c>
      <c r="C54" s="2" t="s">
        <v>771</v>
      </c>
      <c r="D54" s="6" t="s">
        <v>772</v>
      </c>
      <c r="E54" s="2" t="s">
        <v>773</v>
      </c>
      <c r="F54" s="6" t="s">
        <v>774</v>
      </c>
      <c r="G54" s="6" t="s">
        <v>775</v>
      </c>
      <c r="H54" s="2" t="s">
        <v>294</v>
      </c>
      <c r="I54" s="2" t="s">
        <v>42</v>
      </c>
      <c r="J54" s="2" t="s">
        <v>776</v>
      </c>
      <c r="K54" s="2" t="s">
        <v>44</v>
      </c>
      <c r="L54" s="2" t="s">
        <v>295</v>
      </c>
      <c r="M54" s="6" t="s">
        <v>777</v>
      </c>
      <c r="N54" s="6" t="s">
        <v>778</v>
      </c>
      <c r="O54" s="2"/>
      <c r="P54" s="2"/>
      <c r="Q54" s="5" t="s">
        <v>59</v>
      </c>
      <c r="R54" s="5" t="s">
        <v>72</v>
      </c>
      <c r="S54" s="43">
        <v>1</v>
      </c>
      <c r="T54" s="2"/>
      <c r="U54" s="2"/>
      <c r="V54" s="2"/>
      <c r="W54" s="2"/>
      <c r="X54" s="54">
        <v>293</v>
      </c>
      <c r="Y54" s="55">
        <v>274.67779999999999</v>
      </c>
      <c r="Z54" s="2"/>
      <c r="AA54" s="2"/>
      <c r="AB54" s="2"/>
      <c r="AC54" s="2"/>
      <c r="AD54" s="2"/>
      <c r="AE54" s="2"/>
      <c r="AF54" s="2"/>
      <c r="AG54" s="2"/>
      <c r="AH54" s="2"/>
      <c r="AI54" s="2"/>
      <c r="AJ54" s="2"/>
      <c r="AK54" s="2"/>
      <c r="AL54" s="2"/>
      <c r="AM54" s="2"/>
      <c r="AN54" s="2"/>
      <c r="AO54" s="2"/>
      <c r="AP54" s="2"/>
      <c r="AQ54" s="2"/>
      <c r="AR54" s="54">
        <f t="shared" si="0"/>
        <v>293</v>
      </c>
      <c r="AS54" s="20">
        <f t="shared" si="0"/>
        <v>274.67779999999999</v>
      </c>
      <c r="AT54" s="19">
        <f t="shared" si="3"/>
        <v>0.93746689419795215</v>
      </c>
      <c r="AU54" s="47" t="s">
        <v>666</v>
      </c>
      <c r="AV54" s="29"/>
    </row>
    <row r="55" spans="2:48" ht="98.25" hidden="1" customHeight="1" x14ac:dyDescent="0.25">
      <c r="B55" s="34">
        <v>45</v>
      </c>
      <c r="C55" s="2" t="s">
        <v>779</v>
      </c>
      <c r="D55" s="6" t="s">
        <v>780</v>
      </c>
      <c r="E55" s="2" t="s">
        <v>781</v>
      </c>
      <c r="F55" s="6" t="s">
        <v>366</v>
      </c>
      <c r="G55" s="6" t="s">
        <v>367</v>
      </c>
      <c r="H55" s="2" t="s">
        <v>368</v>
      </c>
      <c r="I55" s="2" t="s">
        <v>42</v>
      </c>
      <c r="J55" s="2" t="s">
        <v>369</v>
      </c>
      <c r="K55" s="2" t="s">
        <v>44</v>
      </c>
      <c r="L55" s="2" t="s">
        <v>102</v>
      </c>
      <c r="M55" s="6" t="s">
        <v>370</v>
      </c>
      <c r="N55" s="6" t="s">
        <v>371</v>
      </c>
      <c r="O55" s="2"/>
      <c r="P55" s="2"/>
      <c r="Q55" s="5" t="s">
        <v>59</v>
      </c>
      <c r="R55" s="5" t="s">
        <v>50</v>
      </c>
      <c r="S55" s="5"/>
      <c r="T55" s="2"/>
      <c r="U55" s="2"/>
      <c r="V55" s="2"/>
      <c r="W55" s="2"/>
      <c r="X55" s="2"/>
      <c r="Y55" s="2"/>
      <c r="Z55" s="2"/>
      <c r="AA55" s="2"/>
      <c r="AB55" s="2"/>
      <c r="AC55" s="2"/>
      <c r="AD55" s="2"/>
      <c r="AE55" s="2"/>
      <c r="AF55" s="2"/>
      <c r="AG55" s="2"/>
      <c r="AH55" s="2"/>
      <c r="AI55" s="2"/>
      <c r="AJ55" s="2"/>
      <c r="AK55" s="2"/>
      <c r="AL55" s="2"/>
      <c r="AM55" s="2"/>
      <c r="AN55" s="2"/>
      <c r="AO55" s="2"/>
      <c r="AP55" s="2"/>
      <c r="AQ55" s="2"/>
      <c r="AR55" s="22">
        <f t="shared" si="0"/>
        <v>0</v>
      </c>
      <c r="AS55" s="22">
        <f t="shared" si="0"/>
        <v>0</v>
      </c>
      <c r="AT55" s="19" t="e">
        <f t="shared" si="3"/>
        <v>#DIV/0!</v>
      </c>
      <c r="AU55" s="2"/>
      <c r="AV55" s="29" t="s">
        <v>782</v>
      </c>
    </row>
    <row r="56" spans="2:48" ht="103.5" hidden="1" customHeight="1" x14ac:dyDescent="0.25">
      <c r="B56" s="34">
        <v>46</v>
      </c>
      <c r="C56" s="2" t="s">
        <v>779</v>
      </c>
      <c r="D56" s="6" t="s">
        <v>780</v>
      </c>
      <c r="E56" s="2" t="s">
        <v>783</v>
      </c>
      <c r="F56" s="6" t="s">
        <v>301</v>
      </c>
      <c r="G56" s="6" t="s">
        <v>302</v>
      </c>
      <c r="H56" s="2" t="s">
        <v>303</v>
      </c>
      <c r="I56" s="2" t="s">
        <v>42</v>
      </c>
      <c r="J56" s="2" t="s">
        <v>369</v>
      </c>
      <c r="K56" s="2" t="s">
        <v>44</v>
      </c>
      <c r="L56" s="2" t="s">
        <v>45</v>
      </c>
      <c r="M56" s="6" t="s">
        <v>304</v>
      </c>
      <c r="N56" s="6" t="s">
        <v>305</v>
      </c>
      <c r="O56" s="2"/>
      <c r="P56" s="2"/>
      <c r="Q56" s="5" t="s">
        <v>59</v>
      </c>
      <c r="R56" s="5" t="s">
        <v>72</v>
      </c>
      <c r="S56" s="43">
        <v>1</v>
      </c>
      <c r="T56" s="2">
        <v>1927</v>
      </c>
      <c r="U56" s="2">
        <v>1815</v>
      </c>
      <c r="V56" s="2">
        <v>2784</v>
      </c>
      <c r="W56" s="2">
        <v>2367</v>
      </c>
      <c r="X56" s="2">
        <v>2493</v>
      </c>
      <c r="Y56" s="2">
        <v>2104</v>
      </c>
      <c r="Z56" s="2"/>
      <c r="AA56" s="2"/>
      <c r="AB56" s="2"/>
      <c r="AC56" s="2"/>
      <c r="AD56" s="2"/>
      <c r="AE56" s="2"/>
      <c r="AF56" s="2"/>
      <c r="AG56" s="2"/>
      <c r="AH56" s="2"/>
      <c r="AI56" s="2"/>
      <c r="AJ56" s="2"/>
      <c r="AK56" s="2"/>
      <c r="AL56" s="2"/>
      <c r="AM56" s="2"/>
      <c r="AN56" s="2"/>
      <c r="AO56" s="2"/>
      <c r="AP56" s="2"/>
      <c r="AQ56" s="2"/>
      <c r="AR56" s="22">
        <f t="shared" si="0"/>
        <v>7204</v>
      </c>
      <c r="AS56" s="22">
        <f t="shared" si="0"/>
        <v>6286</v>
      </c>
      <c r="AT56" s="19">
        <f t="shared" si="3"/>
        <v>0.87257079400333148</v>
      </c>
      <c r="AU56" s="47" t="s">
        <v>666</v>
      </c>
      <c r="AV56" s="29"/>
    </row>
    <row r="57" spans="2:48" ht="98.25" hidden="1" customHeight="1" x14ac:dyDescent="0.25">
      <c r="B57" s="34">
        <v>47</v>
      </c>
      <c r="C57" s="2" t="s">
        <v>779</v>
      </c>
      <c r="D57" s="6" t="s">
        <v>780</v>
      </c>
      <c r="E57" s="2" t="s">
        <v>783</v>
      </c>
      <c r="F57" s="6" t="s">
        <v>784</v>
      </c>
      <c r="G57" s="6" t="s">
        <v>785</v>
      </c>
      <c r="H57" s="2" t="s">
        <v>303</v>
      </c>
      <c r="I57" s="2" t="s">
        <v>42</v>
      </c>
      <c r="J57" s="2" t="s">
        <v>369</v>
      </c>
      <c r="K57" s="2" t="s">
        <v>44</v>
      </c>
      <c r="L57" s="2" t="s">
        <v>45</v>
      </c>
      <c r="M57" s="6" t="s">
        <v>786</v>
      </c>
      <c r="N57" s="6" t="s">
        <v>787</v>
      </c>
      <c r="O57" s="2"/>
      <c r="P57" s="2"/>
      <c r="Q57" s="5" t="s">
        <v>59</v>
      </c>
      <c r="R57" s="5" t="s">
        <v>72</v>
      </c>
      <c r="S57" s="43">
        <v>1</v>
      </c>
      <c r="T57" s="2">
        <v>1927</v>
      </c>
      <c r="U57" s="2">
        <v>1923</v>
      </c>
      <c r="V57" s="2">
        <v>92</v>
      </c>
      <c r="W57" s="2">
        <v>81</v>
      </c>
      <c r="X57" s="2">
        <v>73</v>
      </c>
      <c r="Y57" s="2">
        <v>55</v>
      </c>
      <c r="Z57" s="2"/>
      <c r="AA57" s="2"/>
      <c r="AB57" s="2"/>
      <c r="AC57" s="2"/>
      <c r="AD57" s="2"/>
      <c r="AE57" s="2"/>
      <c r="AF57" s="2"/>
      <c r="AG57" s="2"/>
      <c r="AH57" s="2"/>
      <c r="AI57" s="2"/>
      <c r="AJ57" s="2"/>
      <c r="AK57" s="2"/>
      <c r="AL57" s="2"/>
      <c r="AM57" s="2"/>
      <c r="AN57" s="2"/>
      <c r="AO57" s="2"/>
      <c r="AP57" s="2"/>
      <c r="AQ57" s="2"/>
      <c r="AR57" s="22">
        <f t="shared" si="0"/>
        <v>2092</v>
      </c>
      <c r="AS57" s="22">
        <f t="shared" si="0"/>
        <v>2059</v>
      </c>
      <c r="AT57" s="19">
        <f t="shared" si="3"/>
        <v>0.98422562141491399</v>
      </c>
      <c r="AU57" s="47" t="s">
        <v>666</v>
      </c>
      <c r="AV57" s="29"/>
    </row>
    <row r="58" spans="2:48" ht="98.25" hidden="1" customHeight="1" x14ac:dyDescent="0.25">
      <c r="B58" s="34">
        <v>48</v>
      </c>
      <c r="C58" s="2" t="s">
        <v>779</v>
      </c>
      <c r="D58" s="6" t="s">
        <v>780</v>
      </c>
      <c r="E58" s="2" t="s">
        <v>788</v>
      </c>
      <c r="F58" s="6" t="s">
        <v>320</v>
      </c>
      <c r="G58" s="6" t="s">
        <v>321</v>
      </c>
      <c r="H58" s="2" t="s">
        <v>303</v>
      </c>
      <c r="I58" s="2" t="s">
        <v>42</v>
      </c>
      <c r="J58" s="2" t="s">
        <v>369</v>
      </c>
      <c r="K58" s="2" t="s">
        <v>44</v>
      </c>
      <c r="L58" s="2" t="s">
        <v>45</v>
      </c>
      <c r="M58" s="6" t="s">
        <v>322</v>
      </c>
      <c r="N58" s="6" t="s">
        <v>323</v>
      </c>
      <c r="O58" s="2"/>
      <c r="P58" s="2"/>
      <c r="Q58" s="5" t="s">
        <v>59</v>
      </c>
      <c r="R58" s="5" t="s">
        <v>72</v>
      </c>
      <c r="S58" s="43">
        <v>1</v>
      </c>
      <c r="T58" s="2">
        <v>49</v>
      </c>
      <c r="U58" s="2">
        <v>48</v>
      </c>
      <c r="V58" s="2">
        <v>42</v>
      </c>
      <c r="W58" s="2">
        <v>40</v>
      </c>
      <c r="X58" s="2">
        <v>161</v>
      </c>
      <c r="Y58" s="2">
        <v>161</v>
      </c>
      <c r="Z58" s="2"/>
      <c r="AA58" s="2"/>
      <c r="AB58" s="2"/>
      <c r="AC58" s="2"/>
      <c r="AD58" s="2"/>
      <c r="AE58" s="2"/>
      <c r="AF58" s="2"/>
      <c r="AG58" s="2"/>
      <c r="AH58" s="2"/>
      <c r="AI58" s="2"/>
      <c r="AJ58" s="2"/>
      <c r="AK58" s="2"/>
      <c r="AL58" s="2"/>
      <c r="AM58" s="2"/>
      <c r="AN58" s="2"/>
      <c r="AO58" s="2"/>
      <c r="AP58" s="2"/>
      <c r="AQ58" s="2"/>
      <c r="AR58" s="22">
        <f t="shared" si="0"/>
        <v>252</v>
      </c>
      <c r="AS58" s="22">
        <f t="shared" si="0"/>
        <v>249</v>
      </c>
      <c r="AT58" s="19">
        <f t="shared" si="3"/>
        <v>0.98809523809523814</v>
      </c>
      <c r="AU58" s="47" t="s">
        <v>666</v>
      </c>
      <c r="AV58" s="29"/>
    </row>
    <row r="59" spans="2:48" ht="98.25" hidden="1" customHeight="1" x14ac:dyDescent="0.25">
      <c r="B59" s="34">
        <v>49</v>
      </c>
      <c r="C59" s="2" t="s">
        <v>779</v>
      </c>
      <c r="D59" s="6" t="s">
        <v>780</v>
      </c>
      <c r="E59" s="2" t="s">
        <v>783</v>
      </c>
      <c r="F59" s="6" t="s">
        <v>325</v>
      </c>
      <c r="G59" s="6" t="s">
        <v>326</v>
      </c>
      <c r="H59" s="2" t="s">
        <v>303</v>
      </c>
      <c r="I59" s="2" t="s">
        <v>42</v>
      </c>
      <c r="J59" s="2" t="s">
        <v>369</v>
      </c>
      <c r="K59" s="2" t="s">
        <v>44</v>
      </c>
      <c r="L59" s="2" t="s">
        <v>45</v>
      </c>
      <c r="M59" s="6" t="s">
        <v>327</v>
      </c>
      <c r="N59" s="6" t="s">
        <v>328</v>
      </c>
      <c r="O59" s="2"/>
      <c r="P59" s="2"/>
      <c r="Q59" s="5" t="s">
        <v>59</v>
      </c>
      <c r="R59" s="5" t="s">
        <v>72</v>
      </c>
      <c r="S59" s="43">
        <v>1</v>
      </c>
      <c r="T59" s="2">
        <v>1879</v>
      </c>
      <c r="U59" s="2">
        <v>1767</v>
      </c>
      <c r="V59" s="2">
        <v>2742</v>
      </c>
      <c r="W59" s="2">
        <v>2327</v>
      </c>
      <c r="X59" s="2">
        <v>2332</v>
      </c>
      <c r="Y59" s="2">
        <v>1943</v>
      </c>
      <c r="Z59" s="2"/>
      <c r="AA59" s="2"/>
      <c r="AB59" s="2"/>
      <c r="AC59" s="2"/>
      <c r="AD59" s="2"/>
      <c r="AE59" s="2"/>
      <c r="AF59" s="2"/>
      <c r="AG59" s="2"/>
      <c r="AH59" s="2"/>
      <c r="AI59" s="2"/>
      <c r="AJ59" s="2"/>
      <c r="AK59" s="2"/>
      <c r="AL59" s="2"/>
      <c r="AM59" s="2"/>
      <c r="AN59" s="2"/>
      <c r="AO59" s="2"/>
      <c r="AP59" s="2"/>
      <c r="AQ59" s="2"/>
      <c r="AR59" s="22">
        <f t="shared" si="0"/>
        <v>6953</v>
      </c>
      <c r="AS59" s="22">
        <f t="shared" si="0"/>
        <v>6037</v>
      </c>
      <c r="AT59" s="19">
        <f t="shared" si="3"/>
        <v>0.86825830576729468</v>
      </c>
      <c r="AU59" s="47" t="s">
        <v>666</v>
      </c>
      <c r="AV59" s="29"/>
    </row>
    <row r="60" spans="2:48" ht="98.25" hidden="1" customHeight="1" x14ac:dyDescent="0.25">
      <c r="B60" s="34">
        <v>50</v>
      </c>
      <c r="C60" s="2" t="s">
        <v>779</v>
      </c>
      <c r="D60" s="6" t="s">
        <v>780</v>
      </c>
      <c r="E60" s="2" t="s">
        <v>783</v>
      </c>
      <c r="F60" s="6" t="s">
        <v>330</v>
      </c>
      <c r="G60" s="6" t="s">
        <v>331</v>
      </c>
      <c r="H60" s="2" t="s">
        <v>303</v>
      </c>
      <c r="I60" s="2" t="s">
        <v>42</v>
      </c>
      <c r="J60" s="2" t="s">
        <v>369</v>
      </c>
      <c r="K60" s="2" t="s">
        <v>44</v>
      </c>
      <c r="L60" s="2" t="s">
        <v>45</v>
      </c>
      <c r="M60" s="6" t="s">
        <v>332</v>
      </c>
      <c r="N60" s="6" t="s">
        <v>333</v>
      </c>
      <c r="O60" s="2"/>
      <c r="P60" s="2"/>
      <c r="Q60" s="5" t="s">
        <v>59</v>
      </c>
      <c r="R60" s="5" t="s">
        <v>72</v>
      </c>
      <c r="S60" s="43">
        <v>1</v>
      </c>
      <c r="T60" s="2">
        <v>4</v>
      </c>
      <c r="U60" s="2">
        <v>4</v>
      </c>
      <c r="V60" s="2">
        <v>27</v>
      </c>
      <c r="W60" s="2">
        <v>27</v>
      </c>
      <c r="X60" s="2">
        <v>10</v>
      </c>
      <c r="Y60" s="2">
        <v>10</v>
      </c>
      <c r="Z60" s="2"/>
      <c r="AA60" s="2"/>
      <c r="AB60" s="2"/>
      <c r="AC60" s="2"/>
      <c r="AD60" s="2"/>
      <c r="AE60" s="2"/>
      <c r="AF60" s="2"/>
      <c r="AG60" s="2"/>
      <c r="AH60" s="2"/>
      <c r="AI60" s="2"/>
      <c r="AJ60" s="2"/>
      <c r="AK60" s="2"/>
      <c r="AL60" s="2"/>
      <c r="AM60" s="2"/>
      <c r="AN60" s="2"/>
      <c r="AO60" s="2"/>
      <c r="AP60" s="2"/>
      <c r="AQ60" s="2"/>
      <c r="AR60" s="22">
        <f t="shared" si="0"/>
        <v>41</v>
      </c>
      <c r="AS60" s="22">
        <f t="shared" si="0"/>
        <v>41</v>
      </c>
      <c r="AT60" s="19">
        <f t="shared" si="3"/>
        <v>1</v>
      </c>
      <c r="AU60" s="47" t="s">
        <v>666</v>
      </c>
      <c r="AV60" s="29"/>
    </row>
    <row r="61" spans="2:48" ht="98.25" hidden="1" customHeight="1" x14ac:dyDescent="0.25">
      <c r="B61" s="34">
        <v>51</v>
      </c>
      <c r="C61" s="2" t="s">
        <v>779</v>
      </c>
      <c r="D61" s="6" t="s">
        <v>780</v>
      </c>
      <c r="E61" s="2" t="s">
        <v>783</v>
      </c>
      <c r="F61" s="6" t="s">
        <v>336</v>
      </c>
      <c r="G61" s="6" t="s">
        <v>337</v>
      </c>
      <c r="H61" s="2" t="s">
        <v>303</v>
      </c>
      <c r="I61" s="2" t="s">
        <v>42</v>
      </c>
      <c r="J61" s="2" t="s">
        <v>369</v>
      </c>
      <c r="K61" s="2" t="s">
        <v>44</v>
      </c>
      <c r="L61" s="2" t="s">
        <v>45</v>
      </c>
      <c r="M61" s="6" t="s">
        <v>338</v>
      </c>
      <c r="N61" s="6" t="s">
        <v>339</v>
      </c>
      <c r="O61" s="2"/>
      <c r="P61" s="2"/>
      <c r="Q61" s="5" t="s">
        <v>59</v>
      </c>
      <c r="R61" s="5" t="s">
        <v>72</v>
      </c>
      <c r="S61" s="43">
        <v>1</v>
      </c>
      <c r="T61" s="2">
        <v>4</v>
      </c>
      <c r="U61" s="2">
        <v>4</v>
      </c>
      <c r="V61" s="2">
        <v>27</v>
      </c>
      <c r="W61" s="2">
        <v>17</v>
      </c>
      <c r="X61" s="2">
        <v>10</v>
      </c>
      <c r="Y61" s="2">
        <v>23</v>
      </c>
      <c r="Z61" s="2"/>
      <c r="AA61" s="2"/>
      <c r="AB61" s="2"/>
      <c r="AC61" s="2"/>
      <c r="AD61" s="2"/>
      <c r="AE61" s="2"/>
      <c r="AF61" s="2"/>
      <c r="AG61" s="2"/>
      <c r="AH61" s="2"/>
      <c r="AI61" s="2"/>
      <c r="AJ61" s="2"/>
      <c r="AK61" s="2"/>
      <c r="AL61" s="2"/>
      <c r="AM61" s="2"/>
      <c r="AN61" s="2"/>
      <c r="AO61" s="2"/>
      <c r="AP61" s="2"/>
      <c r="AQ61" s="2"/>
      <c r="AR61" s="22">
        <f t="shared" si="0"/>
        <v>41</v>
      </c>
      <c r="AS61" s="22">
        <f t="shared" si="0"/>
        <v>44</v>
      </c>
      <c r="AT61" s="19">
        <f t="shared" si="3"/>
        <v>1.0731707317073171</v>
      </c>
      <c r="AU61" s="47" t="s">
        <v>666</v>
      </c>
      <c r="AV61" s="29"/>
    </row>
    <row r="62" spans="2:48" ht="68.25" hidden="1" customHeight="1" x14ac:dyDescent="0.25">
      <c r="B62" s="34">
        <v>52</v>
      </c>
      <c r="C62" s="2" t="s">
        <v>789</v>
      </c>
      <c r="D62" s="6" t="s">
        <v>790</v>
      </c>
      <c r="E62" s="2" t="s">
        <v>791</v>
      </c>
      <c r="F62" s="6" t="s">
        <v>464</v>
      </c>
      <c r="G62" s="6" t="s">
        <v>465</v>
      </c>
      <c r="H62" s="2" t="s">
        <v>466</v>
      </c>
      <c r="I62" s="2" t="s">
        <v>42</v>
      </c>
      <c r="J62" s="2" t="s">
        <v>369</v>
      </c>
      <c r="K62" s="2" t="s">
        <v>44</v>
      </c>
      <c r="L62" s="2" t="s">
        <v>69</v>
      </c>
      <c r="M62" s="6" t="s">
        <v>467</v>
      </c>
      <c r="N62" s="6" t="s">
        <v>468</v>
      </c>
      <c r="O62" s="2"/>
      <c r="P62" s="2"/>
      <c r="Q62" s="5" t="s">
        <v>59</v>
      </c>
      <c r="R62" s="5" t="s">
        <v>72</v>
      </c>
      <c r="S62" s="43">
        <v>1</v>
      </c>
      <c r="T62" s="2"/>
      <c r="U62" s="2"/>
      <c r="V62" s="2"/>
      <c r="W62" s="2"/>
      <c r="X62" s="2">
        <v>10</v>
      </c>
      <c r="Y62" s="2">
        <v>10</v>
      </c>
      <c r="Z62" s="2"/>
      <c r="AA62" s="2"/>
      <c r="AB62" s="2"/>
      <c r="AC62" s="2"/>
      <c r="AD62" s="2"/>
      <c r="AE62" s="2"/>
      <c r="AF62" s="2"/>
      <c r="AG62" s="2"/>
      <c r="AH62" s="2"/>
      <c r="AI62" s="2"/>
      <c r="AJ62" s="2"/>
      <c r="AK62" s="2"/>
      <c r="AL62" s="2"/>
      <c r="AM62" s="2"/>
      <c r="AN62" s="2"/>
      <c r="AO62" s="2"/>
      <c r="AP62" s="2"/>
      <c r="AQ62" s="2"/>
      <c r="AR62" s="22">
        <f t="shared" si="0"/>
        <v>10</v>
      </c>
      <c r="AS62" s="22">
        <f t="shared" si="0"/>
        <v>10</v>
      </c>
      <c r="AT62" s="19">
        <f t="shared" si="3"/>
        <v>1</v>
      </c>
      <c r="AU62" s="47" t="s">
        <v>666</v>
      </c>
      <c r="AV62" s="29"/>
    </row>
    <row r="63" spans="2:48" ht="68.25" hidden="1" customHeight="1" x14ac:dyDescent="0.25">
      <c r="B63" s="34">
        <v>53</v>
      </c>
      <c r="C63" s="2" t="s">
        <v>789</v>
      </c>
      <c r="D63" s="6" t="s">
        <v>790</v>
      </c>
      <c r="E63" s="2" t="s">
        <v>792</v>
      </c>
      <c r="F63" s="6" t="s">
        <v>471</v>
      </c>
      <c r="G63" s="6" t="s">
        <v>472</v>
      </c>
      <c r="H63" s="2" t="s">
        <v>466</v>
      </c>
      <c r="I63" s="2" t="s">
        <v>42</v>
      </c>
      <c r="J63" s="2" t="s">
        <v>369</v>
      </c>
      <c r="K63" s="2" t="s">
        <v>44</v>
      </c>
      <c r="L63" s="2" t="s">
        <v>69</v>
      </c>
      <c r="M63" s="6" t="s">
        <v>473</v>
      </c>
      <c r="N63" s="6" t="s">
        <v>474</v>
      </c>
      <c r="O63" s="2"/>
      <c r="P63" s="2"/>
      <c r="Q63" s="5" t="s">
        <v>59</v>
      </c>
      <c r="R63" s="5" t="s">
        <v>72</v>
      </c>
      <c r="S63" s="43">
        <v>1</v>
      </c>
      <c r="T63" s="2"/>
      <c r="U63" s="2"/>
      <c r="V63" s="2"/>
      <c r="W63" s="2"/>
      <c r="X63" s="2">
        <v>4</v>
      </c>
      <c r="Y63" s="2">
        <v>4</v>
      </c>
      <c r="Z63" s="2"/>
      <c r="AA63" s="2"/>
      <c r="AB63" s="2"/>
      <c r="AC63" s="2"/>
      <c r="AD63" s="2"/>
      <c r="AE63" s="2"/>
      <c r="AF63" s="2"/>
      <c r="AG63" s="2"/>
      <c r="AH63" s="2"/>
      <c r="AI63" s="2"/>
      <c r="AJ63" s="2"/>
      <c r="AK63" s="2"/>
      <c r="AL63" s="2"/>
      <c r="AM63" s="2"/>
      <c r="AN63" s="2"/>
      <c r="AO63" s="2"/>
      <c r="AP63" s="2"/>
      <c r="AQ63" s="2"/>
      <c r="AR63" s="22">
        <f t="shared" si="0"/>
        <v>4</v>
      </c>
      <c r="AS63" s="22">
        <f t="shared" si="0"/>
        <v>4</v>
      </c>
      <c r="AT63" s="19">
        <f t="shared" si="3"/>
        <v>1</v>
      </c>
      <c r="AU63" s="47" t="s">
        <v>666</v>
      </c>
      <c r="AV63" s="29"/>
    </row>
    <row r="64" spans="2:48" ht="77.25" customHeight="1" x14ac:dyDescent="0.25">
      <c r="B64" s="34">
        <v>54</v>
      </c>
      <c r="C64" s="2" t="s">
        <v>793</v>
      </c>
      <c r="D64" s="6" t="s">
        <v>794</v>
      </c>
      <c r="E64" s="2" t="s">
        <v>795</v>
      </c>
      <c r="F64" s="6" t="s">
        <v>796</v>
      </c>
      <c r="G64" s="6" t="s">
        <v>797</v>
      </c>
      <c r="H64" s="2" t="s">
        <v>385</v>
      </c>
      <c r="I64" s="2" t="s">
        <v>141</v>
      </c>
      <c r="J64" s="2" t="s">
        <v>369</v>
      </c>
      <c r="K64" s="2" t="s">
        <v>237</v>
      </c>
      <c r="L64" s="2" t="s">
        <v>45</v>
      </c>
      <c r="M64" s="6" t="s">
        <v>798</v>
      </c>
      <c r="N64" s="6" t="s">
        <v>799</v>
      </c>
      <c r="O64" s="2"/>
      <c r="P64" s="2"/>
      <c r="Q64" s="5" t="s">
        <v>800</v>
      </c>
      <c r="R64" s="5" t="s">
        <v>724</v>
      </c>
      <c r="S64" s="5" t="s">
        <v>801</v>
      </c>
      <c r="T64" s="2">
        <v>-1</v>
      </c>
      <c r="U64" s="2">
        <v>0</v>
      </c>
      <c r="V64" s="2">
        <v>-1</v>
      </c>
      <c r="W64" s="2">
        <v>0</v>
      </c>
      <c r="X64" s="2">
        <v>-1</v>
      </c>
      <c r="Y64" s="2">
        <v>0</v>
      </c>
      <c r="Z64" s="2"/>
      <c r="AA64" s="2"/>
      <c r="AB64" s="2"/>
      <c r="AC64" s="2"/>
      <c r="AD64" s="2"/>
      <c r="AE64" s="2"/>
      <c r="AF64" s="2"/>
      <c r="AG64" s="2"/>
      <c r="AH64" s="2"/>
      <c r="AI64" s="2"/>
      <c r="AJ64" s="2"/>
      <c r="AK64" s="2"/>
      <c r="AL64" s="2"/>
      <c r="AM64" s="2"/>
      <c r="AN64" s="2"/>
      <c r="AO64" s="2"/>
      <c r="AP64" s="2"/>
      <c r="AQ64" s="2"/>
      <c r="AR64" s="22">
        <f>+AVERAGE(T64,V64,X64,Z64,AB64,AD64,AF64,AH64,AJ64,AL64,AN64,AP64)</f>
        <v>-1</v>
      </c>
      <c r="AS64" s="22">
        <f>+AVERAGE(U64,W64,Y64,AA64,AC64,AE64,AG64,AI64,AK64,AM64,AO64,AQ64)</f>
        <v>0</v>
      </c>
      <c r="AT64" s="5">
        <f t="shared" si="3"/>
        <v>0</v>
      </c>
      <c r="AU64" s="48" t="s">
        <v>648</v>
      </c>
      <c r="AV64" s="29"/>
    </row>
    <row r="65" spans="2:48" ht="77.25" customHeight="1" x14ac:dyDescent="0.25">
      <c r="B65" s="34">
        <v>55</v>
      </c>
      <c r="C65" s="2" t="s">
        <v>793</v>
      </c>
      <c r="D65" s="6" t="s">
        <v>794</v>
      </c>
      <c r="E65" s="2" t="s">
        <v>795</v>
      </c>
      <c r="F65" s="6" t="s">
        <v>802</v>
      </c>
      <c r="G65" s="6" t="s">
        <v>803</v>
      </c>
      <c r="H65" s="2" t="s">
        <v>385</v>
      </c>
      <c r="I65" s="2" t="s">
        <v>42</v>
      </c>
      <c r="J65" s="2" t="s">
        <v>369</v>
      </c>
      <c r="K65" s="2" t="s">
        <v>44</v>
      </c>
      <c r="L65" s="2" t="s">
        <v>45</v>
      </c>
      <c r="M65" s="6" t="s">
        <v>804</v>
      </c>
      <c r="N65" s="6" t="s">
        <v>805</v>
      </c>
      <c r="O65" s="2" t="s">
        <v>615</v>
      </c>
      <c r="P65" s="2"/>
      <c r="Q65" s="5" t="s">
        <v>59</v>
      </c>
      <c r="R65" s="5" t="s">
        <v>724</v>
      </c>
      <c r="S65" s="44">
        <v>5.0000000000000001E-4</v>
      </c>
      <c r="T65" s="2">
        <v>743</v>
      </c>
      <c r="U65" s="2">
        <v>2</v>
      </c>
      <c r="V65" s="2">
        <v>780</v>
      </c>
      <c r="W65" s="2">
        <v>3</v>
      </c>
      <c r="X65" s="2">
        <v>716</v>
      </c>
      <c r="Y65" s="2">
        <v>0</v>
      </c>
      <c r="Z65" s="2"/>
      <c r="AA65" s="2"/>
      <c r="AB65" s="2"/>
      <c r="AC65" s="2"/>
      <c r="AD65" s="2"/>
      <c r="AE65" s="2"/>
      <c r="AF65" s="2"/>
      <c r="AG65" s="2"/>
      <c r="AH65" s="2"/>
      <c r="AI65" s="2"/>
      <c r="AJ65" s="2"/>
      <c r="AK65" s="2"/>
      <c r="AL65" s="2"/>
      <c r="AM65" s="2"/>
      <c r="AN65" s="2"/>
      <c r="AO65" s="2"/>
      <c r="AP65" s="2"/>
      <c r="AQ65" s="2"/>
      <c r="AR65" s="22">
        <f t="shared" si="0"/>
        <v>2239</v>
      </c>
      <c r="AS65" s="22">
        <f t="shared" si="0"/>
        <v>5</v>
      </c>
      <c r="AT65" s="51">
        <f t="shared" si="3"/>
        <v>2.2331397945511387E-3</v>
      </c>
      <c r="AU65" s="21" t="s">
        <v>645</v>
      </c>
      <c r="AV65" s="29"/>
    </row>
    <row r="66" spans="2:48" ht="77.25" customHeight="1" x14ac:dyDescent="0.25">
      <c r="B66" s="34">
        <v>56</v>
      </c>
      <c r="C66" s="2" t="s">
        <v>793</v>
      </c>
      <c r="D66" s="6" t="s">
        <v>794</v>
      </c>
      <c r="E66" s="2" t="s">
        <v>795</v>
      </c>
      <c r="F66" s="6" t="s">
        <v>806</v>
      </c>
      <c r="G66" s="6" t="s">
        <v>807</v>
      </c>
      <c r="H66" s="2" t="s">
        <v>385</v>
      </c>
      <c r="I66" s="2" t="s">
        <v>141</v>
      </c>
      <c r="J66" s="2" t="s">
        <v>369</v>
      </c>
      <c r="K66" s="2" t="s">
        <v>237</v>
      </c>
      <c r="L66" s="2" t="s">
        <v>45</v>
      </c>
      <c r="M66" s="6" t="s">
        <v>808</v>
      </c>
      <c r="N66" s="6" t="s">
        <v>809</v>
      </c>
      <c r="O66" s="2"/>
      <c r="P66" s="2"/>
      <c r="Q66" s="5" t="s">
        <v>800</v>
      </c>
      <c r="R66" s="5" t="s">
        <v>724</v>
      </c>
      <c r="S66" s="5" t="s">
        <v>801</v>
      </c>
      <c r="T66" s="2">
        <v>-1</v>
      </c>
      <c r="U66" s="2">
        <v>0</v>
      </c>
      <c r="V66" s="2">
        <v>-1</v>
      </c>
      <c r="W66" s="2">
        <v>-1</v>
      </c>
      <c r="X66" s="2">
        <v>-1</v>
      </c>
      <c r="Y66" s="2">
        <v>0</v>
      </c>
      <c r="Z66" s="2"/>
      <c r="AA66" s="2"/>
      <c r="AB66" s="2"/>
      <c r="AC66" s="2"/>
      <c r="AD66" s="2"/>
      <c r="AE66" s="2"/>
      <c r="AF66" s="2"/>
      <c r="AG66" s="2"/>
      <c r="AH66" s="2"/>
      <c r="AI66" s="2"/>
      <c r="AJ66" s="2"/>
      <c r="AK66" s="2"/>
      <c r="AL66" s="2"/>
      <c r="AM66" s="2"/>
      <c r="AN66" s="2"/>
      <c r="AO66" s="2"/>
      <c r="AP66" s="2"/>
      <c r="AQ66" s="2"/>
      <c r="AR66" s="22">
        <f>+AVERAGE(T66,V66,X66,Z66,AB66,AD66,AF66,AH66,AJ66,AL66,AN66,AP66)</f>
        <v>-1</v>
      </c>
      <c r="AS66" s="22">
        <f t="shared" si="0"/>
        <v>-1</v>
      </c>
      <c r="AT66" s="52">
        <f>+AR66-AS66</f>
        <v>0</v>
      </c>
      <c r="AU66" s="48" t="s">
        <v>648</v>
      </c>
      <c r="AV66" s="29" t="s">
        <v>810</v>
      </c>
    </row>
    <row r="67" spans="2:48" ht="77.25" customHeight="1" x14ac:dyDescent="0.25">
      <c r="B67" s="34">
        <v>57</v>
      </c>
      <c r="C67" s="2" t="s">
        <v>793</v>
      </c>
      <c r="D67" s="6" t="s">
        <v>794</v>
      </c>
      <c r="E67" s="2" t="s">
        <v>795</v>
      </c>
      <c r="F67" s="6" t="s">
        <v>811</v>
      </c>
      <c r="G67" s="6" t="s">
        <v>812</v>
      </c>
      <c r="H67" s="2" t="s">
        <v>385</v>
      </c>
      <c r="I67" s="2" t="s">
        <v>141</v>
      </c>
      <c r="J67" s="2" t="s">
        <v>89</v>
      </c>
      <c r="K67" s="2" t="s">
        <v>813</v>
      </c>
      <c r="L67" s="2" t="s">
        <v>814</v>
      </c>
      <c r="M67" s="6" t="s">
        <v>815</v>
      </c>
      <c r="N67" s="6" t="s">
        <v>816</v>
      </c>
      <c r="O67" s="2"/>
      <c r="P67" s="2"/>
      <c r="Q67" s="5" t="s">
        <v>817</v>
      </c>
      <c r="R67" s="5" t="s">
        <v>724</v>
      </c>
      <c r="S67" s="5" t="s">
        <v>818</v>
      </c>
      <c r="T67" s="2"/>
      <c r="U67" s="2"/>
      <c r="V67" s="2"/>
      <c r="W67" s="2"/>
      <c r="X67" s="2">
        <v>71</v>
      </c>
      <c r="Y67" s="2">
        <v>348</v>
      </c>
      <c r="Z67" s="2"/>
      <c r="AA67" s="2"/>
      <c r="AB67" s="2"/>
      <c r="AC67" s="2"/>
      <c r="AD67" s="2"/>
      <c r="AE67" s="2"/>
      <c r="AF67" s="2"/>
      <c r="AG67" s="2"/>
      <c r="AH67" s="2"/>
      <c r="AI67" s="2"/>
      <c r="AJ67" s="2"/>
      <c r="AK67" s="2"/>
      <c r="AL67" s="2"/>
      <c r="AM67" s="2"/>
      <c r="AN67" s="2"/>
      <c r="AO67" s="2"/>
      <c r="AP67" s="2"/>
      <c r="AQ67" s="2"/>
      <c r="AR67" s="22">
        <f t="shared" si="0"/>
        <v>71</v>
      </c>
      <c r="AS67" s="22">
        <f t="shared" si="0"/>
        <v>348</v>
      </c>
      <c r="AT67" s="49">
        <f t="shared" ref="AT67:AT89" si="4">+AS67/AR67</f>
        <v>4.901408450704225</v>
      </c>
      <c r="AU67" s="47" t="s">
        <v>666</v>
      </c>
      <c r="AV67" s="29"/>
    </row>
    <row r="68" spans="2:48" ht="77.25" customHeight="1" x14ac:dyDescent="0.25">
      <c r="B68" s="34">
        <v>58</v>
      </c>
      <c r="C68" s="2" t="s">
        <v>793</v>
      </c>
      <c r="D68" s="6" t="s">
        <v>794</v>
      </c>
      <c r="E68" s="2" t="s">
        <v>795</v>
      </c>
      <c r="F68" s="6" t="s">
        <v>819</v>
      </c>
      <c r="G68" s="6" t="s">
        <v>820</v>
      </c>
      <c r="H68" s="2" t="s">
        <v>385</v>
      </c>
      <c r="I68" s="2" t="s">
        <v>141</v>
      </c>
      <c r="J68" s="2" t="s">
        <v>89</v>
      </c>
      <c r="K68" s="2" t="s">
        <v>813</v>
      </c>
      <c r="L68" s="2" t="s">
        <v>814</v>
      </c>
      <c r="M68" s="6" t="s">
        <v>815</v>
      </c>
      <c r="N68" s="6" t="s">
        <v>816</v>
      </c>
      <c r="O68" s="2"/>
      <c r="P68" s="2"/>
      <c r="Q68" s="5" t="s">
        <v>817</v>
      </c>
      <c r="R68" s="5" t="s">
        <v>724</v>
      </c>
      <c r="S68" s="5" t="s">
        <v>818</v>
      </c>
      <c r="T68" s="2"/>
      <c r="U68" s="2"/>
      <c r="V68" s="2"/>
      <c r="W68" s="2"/>
      <c r="X68" s="2">
        <v>21</v>
      </c>
      <c r="Y68" s="2">
        <v>94</v>
      </c>
      <c r="Z68" s="2"/>
      <c r="AA68" s="2"/>
      <c r="AB68" s="2"/>
      <c r="AC68" s="2"/>
      <c r="AD68" s="2"/>
      <c r="AE68" s="2"/>
      <c r="AF68" s="2"/>
      <c r="AG68" s="2"/>
      <c r="AH68" s="2"/>
      <c r="AI68" s="2"/>
      <c r="AJ68" s="2"/>
      <c r="AK68" s="2"/>
      <c r="AL68" s="2"/>
      <c r="AM68" s="2"/>
      <c r="AN68" s="2"/>
      <c r="AO68" s="2"/>
      <c r="AP68" s="2"/>
      <c r="AQ68" s="2"/>
      <c r="AR68" s="22">
        <f t="shared" si="0"/>
        <v>21</v>
      </c>
      <c r="AS68" s="22">
        <f t="shared" si="0"/>
        <v>94</v>
      </c>
      <c r="AT68" s="49">
        <f t="shared" si="4"/>
        <v>4.4761904761904763</v>
      </c>
      <c r="AU68" s="47" t="s">
        <v>666</v>
      </c>
      <c r="AV68" s="29"/>
    </row>
    <row r="69" spans="2:48" ht="77.25" customHeight="1" x14ac:dyDescent="0.25">
      <c r="B69" s="34">
        <v>59</v>
      </c>
      <c r="C69" s="2" t="s">
        <v>793</v>
      </c>
      <c r="D69" s="6" t="s">
        <v>794</v>
      </c>
      <c r="E69" s="2" t="s">
        <v>795</v>
      </c>
      <c r="F69" s="6" t="s">
        <v>821</v>
      </c>
      <c r="G69" s="6" t="s">
        <v>822</v>
      </c>
      <c r="H69" s="2" t="s">
        <v>385</v>
      </c>
      <c r="I69" s="2" t="s">
        <v>141</v>
      </c>
      <c r="J69" s="2" t="s">
        <v>89</v>
      </c>
      <c r="K69" s="2" t="s">
        <v>813</v>
      </c>
      <c r="L69" s="2" t="s">
        <v>814</v>
      </c>
      <c r="M69" s="6" t="s">
        <v>823</v>
      </c>
      <c r="N69" s="6" t="s">
        <v>824</v>
      </c>
      <c r="O69" s="2"/>
      <c r="P69" s="2"/>
      <c r="Q69" s="5" t="s">
        <v>817</v>
      </c>
      <c r="R69" s="5" t="s">
        <v>724</v>
      </c>
      <c r="S69" s="5" t="s">
        <v>825</v>
      </c>
      <c r="T69" s="2"/>
      <c r="U69" s="2"/>
      <c r="V69" s="2"/>
      <c r="W69" s="2"/>
      <c r="X69" s="2">
        <v>0</v>
      </c>
      <c r="Y69" s="2">
        <v>0</v>
      </c>
      <c r="Z69" s="2"/>
      <c r="AA69" s="2"/>
      <c r="AB69" s="2"/>
      <c r="AC69" s="2"/>
      <c r="AD69" s="2"/>
      <c r="AE69" s="2"/>
      <c r="AF69" s="2"/>
      <c r="AG69" s="2"/>
      <c r="AH69" s="2"/>
      <c r="AI69" s="2"/>
      <c r="AJ69" s="2"/>
      <c r="AK69" s="2"/>
      <c r="AL69" s="2"/>
      <c r="AM69" s="2"/>
      <c r="AN69" s="2"/>
      <c r="AO69" s="2"/>
      <c r="AP69" s="2"/>
      <c r="AQ69" s="2"/>
      <c r="AR69" s="22">
        <f t="shared" si="0"/>
        <v>0</v>
      </c>
      <c r="AS69" s="22">
        <f t="shared" si="0"/>
        <v>0</v>
      </c>
      <c r="AT69" s="49" t="e">
        <f t="shared" si="4"/>
        <v>#DIV/0!</v>
      </c>
      <c r="AU69" s="2"/>
      <c r="AV69" s="29" t="s">
        <v>826</v>
      </c>
    </row>
    <row r="70" spans="2:48" ht="77.25" customHeight="1" x14ac:dyDescent="0.25">
      <c r="B70" s="34">
        <v>60</v>
      </c>
      <c r="C70" s="2" t="s">
        <v>793</v>
      </c>
      <c r="D70" s="6" t="s">
        <v>794</v>
      </c>
      <c r="E70" s="2" t="s">
        <v>795</v>
      </c>
      <c r="F70" s="6" t="s">
        <v>827</v>
      </c>
      <c r="G70" s="6" t="s">
        <v>828</v>
      </c>
      <c r="H70" s="2" t="s">
        <v>385</v>
      </c>
      <c r="I70" s="2" t="s">
        <v>141</v>
      </c>
      <c r="J70" s="2" t="s">
        <v>89</v>
      </c>
      <c r="K70" s="2" t="s">
        <v>813</v>
      </c>
      <c r="L70" s="2" t="s">
        <v>814</v>
      </c>
      <c r="M70" s="6" t="s">
        <v>829</v>
      </c>
      <c r="N70" s="6" t="s">
        <v>830</v>
      </c>
      <c r="O70" s="2"/>
      <c r="P70" s="2"/>
      <c r="Q70" s="5" t="s">
        <v>817</v>
      </c>
      <c r="R70" s="5" t="s">
        <v>724</v>
      </c>
      <c r="S70" s="5" t="s">
        <v>825</v>
      </c>
      <c r="T70" s="2"/>
      <c r="U70" s="2"/>
      <c r="V70" s="2"/>
      <c r="W70" s="2"/>
      <c r="X70" s="2">
        <v>0</v>
      </c>
      <c r="Y70" s="2">
        <v>0</v>
      </c>
      <c r="Z70" s="2"/>
      <c r="AA70" s="2"/>
      <c r="AB70" s="2"/>
      <c r="AC70" s="2"/>
      <c r="AD70" s="2"/>
      <c r="AE70" s="2"/>
      <c r="AF70" s="2"/>
      <c r="AG70" s="2"/>
      <c r="AH70" s="2"/>
      <c r="AI70" s="2"/>
      <c r="AJ70" s="2"/>
      <c r="AK70" s="2"/>
      <c r="AL70" s="2"/>
      <c r="AM70" s="2"/>
      <c r="AN70" s="2"/>
      <c r="AO70" s="2"/>
      <c r="AP70" s="2"/>
      <c r="AQ70" s="2"/>
      <c r="AR70" s="22">
        <f t="shared" si="0"/>
        <v>0</v>
      </c>
      <c r="AS70" s="22">
        <f t="shared" si="0"/>
        <v>0</v>
      </c>
      <c r="AT70" s="49" t="e">
        <f t="shared" si="4"/>
        <v>#DIV/0!</v>
      </c>
      <c r="AU70" s="2"/>
      <c r="AV70" s="56" t="s">
        <v>831</v>
      </c>
    </row>
    <row r="71" spans="2:48" ht="77.25" hidden="1" customHeight="1" x14ac:dyDescent="0.25">
      <c r="B71" s="34">
        <v>61</v>
      </c>
      <c r="C71" s="2" t="s">
        <v>793</v>
      </c>
      <c r="D71" s="6" t="s">
        <v>794</v>
      </c>
      <c r="E71" s="2" t="s">
        <v>795</v>
      </c>
      <c r="F71" s="6" t="s">
        <v>832</v>
      </c>
      <c r="G71" s="6" t="s">
        <v>444</v>
      </c>
      <c r="H71" s="2" t="s">
        <v>385</v>
      </c>
      <c r="I71" s="2" t="s">
        <v>83</v>
      </c>
      <c r="J71" s="2" t="s">
        <v>369</v>
      </c>
      <c r="K71" s="2" t="s">
        <v>44</v>
      </c>
      <c r="L71" s="2" t="s">
        <v>69</v>
      </c>
      <c r="M71" s="6" t="s">
        <v>391</v>
      </c>
      <c r="N71" s="6" t="s">
        <v>392</v>
      </c>
      <c r="O71" s="2"/>
      <c r="P71" s="2"/>
      <c r="Q71" s="5" t="s">
        <v>59</v>
      </c>
      <c r="R71" s="5" t="s">
        <v>72</v>
      </c>
      <c r="S71" s="43">
        <v>0.8</v>
      </c>
      <c r="T71" s="2"/>
      <c r="U71" s="2"/>
      <c r="V71" s="2"/>
      <c r="W71" s="2"/>
      <c r="X71" s="2">
        <v>113</v>
      </c>
      <c r="Y71" s="2">
        <v>75</v>
      </c>
      <c r="Z71" s="2"/>
      <c r="AA71" s="2"/>
      <c r="AB71" s="2"/>
      <c r="AC71" s="2"/>
      <c r="AD71" s="2"/>
      <c r="AE71" s="2"/>
      <c r="AF71" s="2"/>
      <c r="AG71" s="2"/>
      <c r="AH71" s="2"/>
      <c r="AI71" s="2"/>
      <c r="AJ71" s="2"/>
      <c r="AK71" s="2"/>
      <c r="AL71" s="2"/>
      <c r="AM71" s="2"/>
      <c r="AN71" s="2"/>
      <c r="AO71" s="2"/>
      <c r="AP71" s="2"/>
      <c r="AQ71" s="2"/>
      <c r="AR71" s="22">
        <f t="shared" si="0"/>
        <v>113</v>
      </c>
      <c r="AS71" s="22">
        <f t="shared" si="0"/>
        <v>75</v>
      </c>
      <c r="AT71" s="19">
        <f t="shared" si="4"/>
        <v>0.66371681415929207</v>
      </c>
      <c r="AU71" s="48" t="s">
        <v>648</v>
      </c>
      <c r="AV71" s="29"/>
    </row>
    <row r="72" spans="2:48" ht="77.25" hidden="1" customHeight="1" x14ac:dyDescent="0.25">
      <c r="B72" s="34">
        <v>62</v>
      </c>
      <c r="C72" s="2" t="s">
        <v>793</v>
      </c>
      <c r="D72" s="6" t="s">
        <v>794</v>
      </c>
      <c r="E72" s="2" t="s">
        <v>795</v>
      </c>
      <c r="F72" s="6" t="s">
        <v>833</v>
      </c>
      <c r="G72" s="6" t="s">
        <v>834</v>
      </c>
      <c r="H72" s="2" t="s">
        <v>385</v>
      </c>
      <c r="I72" s="2" t="s">
        <v>83</v>
      </c>
      <c r="J72" s="2" t="s">
        <v>369</v>
      </c>
      <c r="K72" s="2" t="s">
        <v>44</v>
      </c>
      <c r="L72" s="2" t="s">
        <v>69</v>
      </c>
      <c r="M72" s="6" t="s">
        <v>448</v>
      </c>
      <c r="N72" s="6" t="s">
        <v>449</v>
      </c>
      <c r="O72" s="2"/>
      <c r="P72" s="2"/>
      <c r="Q72" s="5" t="s">
        <v>59</v>
      </c>
      <c r="R72" s="5" t="s">
        <v>72</v>
      </c>
      <c r="S72" s="43">
        <v>0.91</v>
      </c>
      <c r="T72" s="2"/>
      <c r="U72" s="2"/>
      <c r="V72" s="2"/>
      <c r="W72" s="2"/>
      <c r="X72" s="2">
        <v>590</v>
      </c>
      <c r="Y72" s="2">
        <v>576</v>
      </c>
      <c r="Z72" s="2"/>
      <c r="AA72" s="2"/>
      <c r="AB72" s="2"/>
      <c r="AC72" s="2"/>
      <c r="AD72" s="2"/>
      <c r="AE72" s="2"/>
      <c r="AF72" s="2"/>
      <c r="AG72" s="2"/>
      <c r="AH72" s="2"/>
      <c r="AI72" s="2"/>
      <c r="AJ72" s="2"/>
      <c r="AK72" s="2"/>
      <c r="AL72" s="2"/>
      <c r="AM72" s="2"/>
      <c r="AN72" s="2"/>
      <c r="AO72" s="2"/>
      <c r="AP72" s="2"/>
      <c r="AQ72" s="2"/>
      <c r="AR72" s="22">
        <f t="shared" si="0"/>
        <v>590</v>
      </c>
      <c r="AS72" s="22">
        <f t="shared" si="0"/>
        <v>576</v>
      </c>
      <c r="AT72" s="19">
        <f t="shared" si="4"/>
        <v>0.97627118644067801</v>
      </c>
      <c r="AU72" s="47" t="s">
        <v>666</v>
      </c>
      <c r="AV72" s="29"/>
    </row>
    <row r="73" spans="2:48" ht="77.25" hidden="1" customHeight="1" x14ac:dyDescent="0.25">
      <c r="B73" s="34">
        <v>63</v>
      </c>
      <c r="C73" s="2" t="s">
        <v>793</v>
      </c>
      <c r="D73" s="6" t="s">
        <v>794</v>
      </c>
      <c r="E73" s="2" t="s">
        <v>795</v>
      </c>
      <c r="F73" s="6" t="s">
        <v>835</v>
      </c>
      <c r="G73" s="6" t="s">
        <v>836</v>
      </c>
      <c r="H73" s="2" t="s">
        <v>385</v>
      </c>
      <c r="I73" s="2" t="s">
        <v>83</v>
      </c>
      <c r="J73" s="2" t="s">
        <v>369</v>
      </c>
      <c r="K73" s="2" t="s">
        <v>44</v>
      </c>
      <c r="L73" s="2" t="s">
        <v>69</v>
      </c>
      <c r="M73" s="6" t="s">
        <v>391</v>
      </c>
      <c r="N73" s="6" t="s">
        <v>392</v>
      </c>
      <c r="O73" s="2"/>
      <c r="P73" s="2"/>
      <c r="Q73" s="5" t="s">
        <v>59</v>
      </c>
      <c r="R73" s="5" t="s">
        <v>72</v>
      </c>
      <c r="S73" s="43">
        <v>0.9</v>
      </c>
      <c r="T73" s="2"/>
      <c r="U73" s="2"/>
      <c r="V73" s="2"/>
      <c r="W73" s="2"/>
      <c r="X73" s="2">
        <v>85</v>
      </c>
      <c r="Y73" s="2">
        <v>80</v>
      </c>
      <c r="Z73" s="2"/>
      <c r="AA73" s="2"/>
      <c r="AB73" s="2"/>
      <c r="AC73" s="2"/>
      <c r="AD73" s="2"/>
      <c r="AE73" s="2"/>
      <c r="AF73" s="2"/>
      <c r="AG73" s="2"/>
      <c r="AH73" s="2"/>
      <c r="AI73" s="2"/>
      <c r="AJ73" s="2"/>
      <c r="AK73" s="2"/>
      <c r="AL73" s="2"/>
      <c r="AM73" s="2"/>
      <c r="AN73" s="2"/>
      <c r="AO73" s="2"/>
      <c r="AP73" s="2"/>
      <c r="AQ73" s="2"/>
      <c r="AR73" s="22">
        <f t="shared" ref="AR73:AS89" si="5">+T73+V73+X73+Z73+AB73+AD73+AF73+AH73+AJ73+AL73+AN73+AP73</f>
        <v>85</v>
      </c>
      <c r="AS73" s="22">
        <f t="shared" si="5"/>
        <v>80</v>
      </c>
      <c r="AT73" s="19">
        <f t="shared" si="4"/>
        <v>0.94117647058823528</v>
      </c>
      <c r="AU73" s="47" t="s">
        <v>666</v>
      </c>
      <c r="AV73" s="29"/>
    </row>
    <row r="74" spans="2:48" ht="77.25" hidden="1" customHeight="1" x14ac:dyDescent="0.25">
      <c r="B74" s="34">
        <v>64</v>
      </c>
      <c r="C74" s="2" t="s">
        <v>793</v>
      </c>
      <c r="D74" s="6" t="s">
        <v>794</v>
      </c>
      <c r="E74" s="2" t="s">
        <v>795</v>
      </c>
      <c r="F74" s="6" t="s">
        <v>837</v>
      </c>
      <c r="G74" s="6" t="s">
        <v>838</v>
      </c>
      <c r="H74" s="2" t="s">
        <v>385</v>
      </c>
      <c r="I74" s="2" t="s">
        <v>42</v>
      </c>
      <c r="J74" s="2" t="s">
        <v>369</v>
      </c>
      <c r="K74" s="2" t="s">
        <v>44</v>
      </c>
      <c r="L74" s="2" t="s">
        <v>102</v>
      </c>
      <c r="M74" s="6" t="s">
        <v>839</v>
      </c>
      <c r="N74" s="6" t="s">
        <v>840</v>
      </c>
      <c r="O74" s="2"/>
      <c r="P74" s="2"/>
      <c r="Q74" s="5" t="s">
        <v>59</v>
      </c>
      <c r="R74" s="5" t="s">
        <v>72</v>
      </c>
      <c r="S74" s="43">
        <v>0.8</v>
      </c>
      <c r="T74" s="2"/>
      <c r="U74" s="2"/>
      <c r="V74" s="2"/>
      <c r="W74" s="2"/>
      <c r="X74" s="2"/>
      <c r="Y74" s="2"/>
      <c r="Z74" s="2"/>
      <c r="AA74" s="2"/>
      <c r="AB74" s="2"/>
      <c r="AC74" s="2"/>
      <c r="AD74" s="2"/>
      <c r="AE74" s="2"/>
      <c r="AF74" s="2"/>
      <c r="AG74" s="2"/>
      <c r="AH74" s="2"/>
      <c r="AI74" s="2"/>
      <c r="AJ74" s="2"/>
      <c r="AK74" s="2"/>
      <c r="AL74" s="2"/>
      <c r="AM74" s="2"/>
      <c r="AN74" s="2"/>
      <c r="AO74" s="2"/>
      <c r="AP74" s="2"/>
      <c r="AQ74" s="2"/>
      <c r="AR74" s="22">
        <f t="shared" si="5"/>
        <v>0</v>
      </c>
      <c r="AS74" s="22">
        <f t="shared" si="5"/>
        <v>0</v>
      </c>
      <c r="AT74" s="19" t="e">
        <f t="shared" si="4"/>
        <v>#DIV/0!</v>
      </c>
      <c r="AU74" s="2"/>
      <c r="AV74" s="29"/>
    </row>
    <row r="75" spans="2:48" ht="77.25" hidden="1" customHeight="1" x14ac:dyDescent="0.25">
      <c r="B75" s="34">
        <v>65</v>
      </c>
      <c r="C75" s="2" t="s">
        <v>793</v>
      </c>
      <c r="D75" s="6" t="s">
        <v>794</v>
      </c>
      <c r="E75" s="2" t="s">
        <v>795</v>
      </c>
      <c r="F75" s="6" t="s">
        <v>841</v>
      </c>
      <c r="G75" s="6" t="s">
        <v>842</v>
      </c>
      <c r="H75" s="2" t="s">
        <v>385</v>
      </c>
      <c r="I75" s="2" t="s">
        <v>42</v>
      </c>
      <c r="J75" s="2" t="s">
        <v>369</v>
      </c>
      <c r="K75" s="2" t="s">
        <v>44</v>
      </c>
      <c r="L75" s="2" t="s">
        <v>102</v>
      </c>
      <c r="M75" s="6" t="s">
        <v>839</v>
      </c>
      <c r="N75" s="6" t="s">
        <v>840</v>
      </c>
      <c r="O75" s="2"/>
      <c r="P75" s="2"/>
      <c r="Q75" s="5" t="s">
        <v>59</v>
      </c>
      <c r="R75" s="5" t="s">
        <v>72</v>
      </c>
      <c r="S75" s="43">
        <v>0.93</v>
      </c>
      <c r="T75" s="2"/>
      <c r="U75" s="2"/>
      <c r="V75" s="2"/>
      <c r="W75" s="2"/>
      <c r="X75" s="2"/>
      <c r="Y75" s="2"/>
      <c r="Z75" s="2"/>
      <c r="AA75" s="2"/>
      <c r="AB75" s="2"/>
      <c r="AC75" s="2"/>
      <c r="AD75" s="2"/>
      <c r="AE75" s="2"/>
      <c r="AF75" s="2"/>
      <c r="AG75" s="2"/>
      <c r="AH75" s="2"/>
      <c r="AI75" s="2"/>
      <c r="AJ75" s="2"/>
      <c r="AK75" s="2"/>
      <c r="AL75" s="2"/>
      <c r="AM75" s="2"/>
      <c r="AN75" s="2"/>
      <c r="AO75" s="2"/>
      <c r="AP75" s="2"/>
      <c r="AQ75" s="2"/>
      <c r="AR75" s="22">
        <f t="shared" si="5"/>
        <v>0</v>
      </c>
      <c r="AS75" s="22">
        <f t="shared" si="5"/>
        <v>0</v>
      </c>
      <c r="AT75" s="19" t="e">
        <f t="shared" si="4"/>
        <v>#DIV/0!</v>
      </c>
      <c r="AU75" s="2"/>
      <c r="AV75" s="29"/>
    </row>
    <row r="76" spans="2:48" ht="77.25" hidden="1" customHeight="1" x14ac:dyDescent="0.25">
      <c r="B76" s="34">
        <v>66</v>
      </c>
      <c r="C76" s="2" t="s">
        <v>793</v>
      </c>
      <c r="D76" s="6" t="s">
        <v>794</v>
      </c>
      <c r="E76" s="2" t="s">
        <v>795</v>
      </c>
      <c r="F76" s="6" t="s">
        <v>843</v>
      </c>
      <c r="G76" s="6" t="s">
        <v>844</v>
      </c>
      <c r="H76" s="2" t="s">
        <v>385</v>
      </c>
      <c r="I76" s="2" t="s">
        <v>42</v>
      </c>
      <c r="J76" s="2" t="s">
        <v>369</v>
      </c>
      <c r="K76" s="2" t="s">
        <v>44</v>
      </c>
      <c r="L76" s="2" t="s">
        <v>102</v>
      </c>
      <c r="M76" s="6" t="s">
        <v>839</v>
      </c>
      <c r="N76" s="6" t="s">
        <v>840</v>
      </c>
      <c r="O76" s="2"/>
      <c r="P76" s="2"/>
      <c r="Q76" s="5" t="s">
        <v>59</v>
      </c>
      <c r="R76" s="5" t="s">
        <v>72</v>
      </c>
      <c r="S76" s="43">
        <v>0.8</v>
      </c>
      <c r="T76" s="2"/>
      <c r="U76" s="2"/>
      <c r="V76" s="2"/>
      <c r="W76" s="2"/>
      <c r="X76" s="2"/>
      <c r="Y76" s="2"/>
      <c r="Z76" s="2"/>
      <c r="AA76" s="2"/>
      <c r="AB76" s="2"/>
      <c r="AC76" s="2"/>
      <c r="AD76" s="2"/>
      <c r="AE76" s="2"/>
      <c r="AF76" s="2"/>
      <c r="AG76" s="2"/>
      <c r="AH76" s="2"/>
      <c r="AI76" s="2"/>
      <c r="AJ76" s="2"/>
      <c r="AK76" s="2"/>
      <c r="AL76" s="2"/>
      <c r="AM76" s="2"/>
      <c r="AN76" s="2"/>
      <c r="AO76" s="2"/>
      <c r="AP76" s="2"/>
      <c r="AQ76" s="2"/>
      <c r="AR76" s="22">
        <f t="shared" si="5"/>
        <v>0</v>
      </c>
      <c r="AS76" s="22">
        <f t="shared" si="5"/>
        <v>0</v>
      </c>
      <c r="AT76" s="19" t="e">
        <f t="shared" si="4"/>
        <v>#DIV/0!</v>
      </c>
      <c r="AU76" s="2"/>
      <c r="AV76" s="29"/>
    </row>
    <row r="77" spans="2:48" ht="77.25" hidden="1" customHeight="1" x14ac:dyDescent="0.25">
      <c r="B77" s="34">
        <v>67</v>
      </c>
      <c r="C77" s="2" t="s">
        <v>793</v>
      </c>
      <c r="D77" s="6" t="s">
        <v>794</v>
      </c>
      <c r="E77" s="2" t="s">
        <v>845</v>
      </c>
      <c r="F77" s="6" t="s">
        <v>846</v>
      </c>
      <c r="G77" s="6" t="s">
        <v>847</v>
      </c>
      <c r="H77" s="2" t="s">
        <v>385</v>
      </c>
      <c r="I77" s="2" t="s">
        <v>42</v>
      </c>
      <c r="J77" s="2" t="s">
        <v>113</v>
      </c>
      <c r="K77" s="2" t="s">
        <v>44</v>
      </c>
      <c r="L77" s="2" t="s">
        <v>69</v>
      </c>
      <c r="M77" s="6" t="s">
        <v>421</v>
      </c>
      <c r="N77" s="6" t="s">
        <v>422</v>
      </c>
      <c r="O77" s="2"/>
      <c r="P77" s="2"/>
      <c r="Q77" s="5" t="s">
        <v>59</v>
      </c>
      <c r="R77" s="5" t="s">
        <v>72</v>
      </c>
      <c r="S77" s="43">
        <v>0.9</v>
      </c>
      <c r="T77" s="2"/>
      <c r="U77" s="2"/>
      <c r="V77" s="2"/>
      <c r="W77" s="2"/>
      <c r="X77" s="2">
        <v>33</v>
      </c>
      <c r="Y77" s="2">
        <v>20</v>
      </c>
      <c r="Z77" s="2"/>
      <c r="AA77" s="2"/>
      <c r="AB77" s="2"/>
      <c r="AC77" s="2"/>
      <c r="AD77" s="2"/>
      <c r="AE77" s="2"/>
      <c r="AF77" s="2"/>
      <c r="AG77" s="2"/>
      <c r="AH77" s="2"/>
      <c r="AI77" s="2"/>
      <c r="AJ77" s="2"/>
      <c r="AK77" s="2"/>
      <c r="AL77" s="2"/>
      <c r="AM77" s="2"/>
      <c r="AN77" s="2"/>
      <c r="AO77" s="2"/>
      <c r="AP77" s="2"/>
      <c r="AQ77" s="2"/>
      <c r="AR77" s="22">
        <f t="shared" si="5"/>
        <v>33</v>
      </c>
      <c r="AS77" s="22">
        <f t="shared" si="5"/>
        <v>20</v>
      </c>
      <c r="AT77" s="19">
        <f t="shared" si="4"/>
        <v>0.60606060606060608</v>
      </c>
      <c r="AU77" s="21" t="s">
        <v>645</v>
      </c>
      <c r="AV77" s="29"/>
    </row>
    <row r="78" spans="2:48" ht="90.75" customHeight="1" x14ac:dyDescent="0.25">
      <c r="B78" s="34">
        <v>68</v>
      </c>
      <c r="C78" s="2" t="s">
        <v>793</v>
      </c>
      <c r="D78" s="6" t="s">
        <v>794</v>
      </c>
      <c r="E78" s="2" t="s">
        <v>845</v>
      </c>
      <c r="F78" s="6" t="s">
        <v>848</v>
      </c>
      <c r="G78" s="6" t="s">
        <v>849</v>
      </c>
      <c r="H78" s="2" t="s">
        <v>385</v>
      </c>
      <c r="I78" s="2" t="s">
        <v>83</v>
      </c>
      <c r="J78" s="2" t="s">
        <v>113</v>
      </c>
      <c r="K78" s="2" t="s">
        <v>44</v>
      </c>
      <c r="L78" s="2" t="s">
        <v>590</v>
      </c>
      <c r="M78" s="6" t="s">
        <v>850</v>
      </c>
      <c r="N78" s="6" t="s">
        <v>851</v>
      </c>
      <c r="O78" s="2"/>
      <c r="P78" s="2"/>
      <c r="Q78" s="5" t="s">
        <v>202</v>
      </c>
      <c r="R78" s="5" t="s">
        <v>724</v>
      </c>
      <c r="S78" s="5"/>
      <c r="T78" s="2"/>
      <c r="U78" s="2"/>
      <c r="V78" s="2"/>
      <c r="W78" s="2"/>
      <c r="X78" s="2"/>
      <c r="Y78" s="2"/>
      <c r="Z78" s="2"/>
      <c r="AA78" s="2"/>
      <c r="AB78" s="2"/>
      <c r="AC78" s="2"/>
      <c r="AD78" s="2"/>
      <c r="AE78" s="2"/>
      <c r="AF78" s="2"/>
      <c r="AG78" s="2"/>
      <c r="AH78" s="2"/>
      <c r="AI78" s="2"/>
      <c r="AJ78" s="2"/>
      <c r="AK78" s="2"/>
      <c r="AL78" s="2"/>
      <c r="AM78" s="2"/>
      <c r="AN78" s="2"/>
      <c r="AO78" s="2"/>
      <c r="AP78" s="2"/>
      <c r="AQ78" s="2"/>
      <c r="AR78" s="22">
        <f t="shared" si="5"/>
        <v>0</v>
      </c>
      <c r="AS78" s="22">
        <f t="shared" si="5"/>
        <v>0</v>
      </c>
      <c r="AT78" s="19" t="e">
        <f t="shared" si="4"/>
        <v>#DIV/0!</v>
      </c>
      <c r="AU78" s="2"/>
      <c r="AV78" s="29" t="s">
        <v>852</v>
      </c>
    </row>
    <row r="79" spans="2:48" ht="77.25" hidden="1" customHeight="1" x14ac:dyDescent="0.25">
      <c r="B79" s="34">
        <v>69</v>
      </c>
      <c r="C79" s="2" t="s">
        <v>793</v>
      </c>
      <c r="D79" s="6" t="s">
        <v>794</v>
      </c>
      <c r="E79" s="2" t="s">
        <v>845</v>
      </c>
      <c r="F79" s="6" t="s">
        <v>476</v>
      </c>
      <c r="G79" s="6" t="s">
        <v>477</v>
      </c>
      <c r="H79" s="2" t="s">
        <v>385</v>
      </c>
      <c r="I79" s="2" t="s">
        <v>83</v>
      </c>
      <c r="J79" s="2" t="s">
        <v>89</v>
      </c>
      <c r="K79" s="2" t="s">
        <v>44</v>
      </c>
      <c r="L79" s="2" t="s">
        <v>102</v>
      </c>
      <c r="M79" s="6" t="s">
        <v>478</v>
      </c>
      <c r="N79" s="6" t="s">
        <v>479</v>
      </c>
      <c r="O79" s="2"/>
      <c r="P79" s="2"/>
      <c r="Q79" s="5" t="s">
        <v>202</v>
      </c>
      <c r="R79" s="5" t="s">
        <v>72</v>
      </c>
      <c r="S79" s="43">
        <v>0.15</v>
      </c>
      <c r="T79" s="2"/>
      <c r="U79" s="2"/>
      <c r="V79" s="2"/>
      <c r="W79" s="2"/>
      <c r="X79" s="2"/>
      <c r="Y79" s="2"/>
      <c r="Z79" s="2"/>
      <c r="AA79" s="2"/>
      <c r="AB79" s="2"/>
      <c r="AC79" s="2"/>
      <c r="AD79" s="2"/>
      <c r="AE79" s="2"/>
      <c r="AF79" s="2"/>
      <c r="AG79" s="2"/>
      <c r="AH79" s="2"/>
      <c r="AI79" s="2"/>
      <c r="AJ79" s="2"/>
      <c r="AK79" s="2"/>
      <c r="AL79" s="2"/>
      <c r="AM79" s="2"/>
      <c r="AN79" s="2"/>
      <c r="AO79" s="2"/>
      <c r="AP79" s="2"/>
      <c r="AQ79" s="2"/>
      <c r="AR79" s="22">
        <f t="shared" si="5"/>
        <v>0</v>
      </c>
      <c r="AS79" s="22">
        <f t="shared" si="5"/>
        <v>0</v>
      </c>
      <c r="AT79" s="19" t="e">
        <f t="shared" si="4"/>
        <v>#DIV/0!</v>
      </c>
      <c r="AU79" s="2"/>
      <c r="AV79" s="29"/>
    </row>
    <row r="80" spans="2:48" ht="77.25" hidden="1" customHeight="1" x14ac:dyDescent="0.25">
      <c r="B80" s="34">
        <v>70</v>
      </c>
      <c r="C80" s="2" t="s">
        <v>793</v>
      </c>
      <c r="D80" s="6" t="s">
        <v>794</v>
      </c>
      <c r="E80" s="2" t="s">
        <v>845</v>
      </c>
      <c r="F80" s="6" t="s">
        <v>399</v>
      </c>
      <c r="G80" s="6" t="s">
        <v>400</v>
      </c>
      <c r="H80" s="2" t="s">
        <v>385</v>
      </c>
      <c r="I80" s="2" t="s">
        <v>83</v>
      </c>
      <c r="J80" s="2" t="s">
        <v>113</v>
      </c>
      <c r="K80" s="2" t="s">
        <v>44</v>
      </c>
      <c r="L80" s="2" t="s">
        <v>102</v>
      </c>
      <c r="M80" s="6" t="s">
        <v>401</v>
      </c>
      <c r="N80" s="6" t="s">
        <v>402</v>
      </c>
      <c r="O80" s="2"/>
      <c r="P80" s="2"/>
      <c r="Q80" s="5" t="s">
        <v>202</v>
      </c>
      <c r="R80" s="5" t="s">
        <v>72</v>
      </c>
      <c r="S80" s="43">
        <v>0.15</v>
      </c>
      <c r="T80" s="2"/>
      <c r="U80" s="2"/>
      <c r="V80" s="2"/>
      <c r="W80" s="2"/>
      <c r="X80" s="2"/>
      <c r="Y80" s="2"/>
      <c r="Z80" s="2"/>
      <c r="AA80" s="2"/>
      <c r="AB80" s="2"/>
      <c r="AC80" s="2"/>
      <c r="AD80" s="2"/>
      <c r="AE80" s="2"/>
      <c r="AF80" s="2"/>
      <c r="AG80" s="2"/>
      <c r="AH80" s="2"/>
      <c r="AI80" s="2"/>
      <c r="AJ80" s="2"/>
      <c r="AK80" s="2"/>
      <c r="AL80" s="2"/>
      <c r="AM80" s="2"/>
      <c r="AN80" s="2"/>
      <c r="AO80" s="2"/>
      <c r="AP80" s="2"/>
      <c r="AQ80" s="2"/>
      <c r="AR80" s="22">
        <f t="shared" si="5"/>
        <v>0</v>
      </c>
      <c r="AS80" s="22">
        <f t="shared" si="5"/>
        <v>0</v>
      </c>
      <c r="AT80" s="19" t="e">
        <f t="shared" si="4"/>
        <v>#DIV/0!</v>
      </c>
      <c r="AU80" s="2"/>
      <c r="AV80" s="29"/>
    </row>
    <row r="81" spans="2:48" ht="77.25" customHeight="1" x14ac:dyDescent="0.25">
      <c r="B81" s="34">
        <v>71</v>
      </c>
      <c r="C81" s="2" t="s">
        <v>793</v>
      </c>
      <c r="D81" s="6" t="s">
        <v>794</v>
      </c>
      <c r="E81" s="2" t="s">
        <v>845</v>
      </c>
      <c r="F81" s="6" t="s">
        <v>853</v>
      </c>
      <c r="G81" s="6" t="s">
        <v>854</v>
      </c>
      <c r="H81" s="2" t="s">
        <v>385</v>
      </c>
      <c r="I81" s="2" t="s">
        <v>83</v>
      </c>
      <c r="J81" s="2" t="s">
        <v>113</v>
      </c>
      <c r="K81" s="2" t="s">
        <v>44</v>
      </c>
      <c r="L81" s="2" t="s">
        <v>102</v>
      </c>
      <c r="M81" s="6" t="s">
        <v>855</v>
      </c>
      <c r="N81" s="6" t="s">
        <v>856</v>
      </c>
      <c r="O81" s="2"/>
      <c r="P81" s="2"/>
      <c r="Q81" s="5" t="s">
        <v>202</v>
      </c>
      <c r="R81" s="5" t="s">
        <v>724</v>
      </c>
      <c r="S81" s="43">
        <v>0.8</v>
      </c>
      <c r="T81" s="2"/>
      <c r="U81" s="2"/>
      <c r="V81" s="2"/>
      <c r="W81" s="2"/>
      <c r="X81" s="2"/>
      <c r="Y81" s="2"/>
      <c r="Z81" s="2"/>
      <c r="AA81" s="2"/>
      <c r="AB81" s="2"/>
      <c r="AC81" s="2"/>
      <c r="AD81" s="2"/>
      <c r="AE81" s="2"/>
      <c r="AF81" s="2"/>
      <c r="AG81" s="2"/>
      <c r="AH81" s="2"/>
      <c r="AI81" s="2"/>
      <c r="AJ81" s="2"/>
      <c r="AK81" s="2"/>
      <c r="AL81" s="2"/>
      <c r="AM81" s="2"/>
      <c r="AN81" s="2"/>
      <c r="AO81" s="2"/>
      <c r="AP81" s="2"/>
      <c r="AQ81" s="2"/>
      <c r="AR81" s="22">
        <f t="shared" si="5"/>
        <v>0</v>
      </c>
      <c r="AS81" s="22">
        <f t="shared" si="5"/>
        <v>0</v>
      </c>
      <c r="AT81" s="19" t="e">
        <f t="shared" si="4"/>
        <v>#DIV/0!</v>
      </c>
      <c r="AU81" s="2"/>
      <c r="AV81" s="29" t="s">
        <v>857</v>
      </c>
    </row>
    <row r="82" spans="2:48" ht="77.25" customHeight="1" x14ac:dyDescent="0.25">
      <c r="B82" s="34">
        <v>72</v>
      </c>
      <c r="C82" s="2" t="s">
        <v>793</v>
      </c>
      <c r="D82" s="6" t="s">
        <v>794</v>
      </c>
      <c r="E82" s="2" t="s">
        <v>845</v>
      </c>
      <c r="F82" s="6" t="s">
        <v>858</v>
      </c>
      <c r="G82" s="6" t="s">
        <v>859</v>
      </c>
      <c r="H82" s="2" t="s">
        <v>385</v>
      </c>
      <c r="I82" s="2" t="s">
        <v>141</v>
      </c>
      <c r="J82" s="2" t="s">
        <v>89</v>
      </c>
      <c r="K82" s="2" t="s">
        <v>813</v>
      </c>
      <c r="L82" s="2" t="s">
        <v>69</v>
      </c>
      <c r="M82" s="6" t="s">
        <v>860</v>
      </c>
      <c r="N82" s="6" t="s">
        <v>861</v>
      </c>
      <c r="O82" s="2"/>
      <c r="P82" s="2"/>
      <c r="Q82" s="5" t="s">
        <v>105</v>
      </c>
      <c r="R82" s="5" t="s">
        <v>724</v>
      </c>
      <c r="S82" s="5" t="s">
        <v>862</v>
      </c>
      <c r="T82" s="2"/>
      <c r="U82" s="2"/>
      <c r="V82" s="2"/>
      <c r="W82" s="2"/>
      <c r="X82" s="2">
        <v>126</v>
      </c>
      <c r="Y82" s="2">
        <v>378</v>
      </c>
      <c r="Z82" s="2"/>
      <c r="AA82" s="2"/>
      <c r="AB82" s="2"/>
      <c r="AC82" s="2"/>
      <c r="AD82" s="2"/>
      <c r="AE82" s="2"/>
      <c r="AF82" s="2"/>
      <c r="AG82" s="2"/>
      <c r="AH82" s="2"/>
      <c r="AI82" s="2"/>
      <c r="AJ82" s="2"/>
      <c r="AK82" s="2"/>
      <c r="AL82" s="2"/>
      <c r="AM82" s="2"/>
      <c r="AN82" s="2"/>
      <c r="AO82" s="2"/>
      <c r="AP82" s="2"/>
      <c r="AQ82" s="2"/>
      <c r="AR82" s="22">
        <f t="shared" si="5"/>
        <v>126</v>
      </c>
      <c r="AS82" s="22">
        <f t="shared" si="5"/>
        <v>378</v>
      </c>
      <c r="AT82" s="49">
        <f t="shared" si="4"/>
        <v>3</v>
      </c>
      <c r="AU82" s="47" t="s">
        <v>666</v>
      </c>
      <c r="AV82" s="29"/>
    </row>
    <row r="83" spans="2:48" ht="51" x14ac:dyDescent="0.25">
      <c r="B83" s="34">
        <v>73</v>
      </c>
      <c r="C83" s="2" t="s">
        <v>793</v>
      </c>
      <c r="D83" s="6" t="s">
        <v>794</v>
      </c>
      <c r="E83" s="2" t="s">
        <v>845</v>
      </c>
      <c r="F83" s="6" t="s">
        <v>863</v>
      </c>
      <c r="G83" s="6" t="s">
        <v>864</v>
      </c>
      <c r="H83" s="2" t="s">
        <v>385</v>
      </c>
      <c r="I83" s="2" t="s">
        <v>42</v>
      </c>
      <c r="J83" s="45" t="s">
        <v>113</v>
      </c>
      <c r="K83" s="2" t="s">
        <v>44</v>
      </c>
      <c r="L83" s="2" t="s">
        <v>102</v>
      </c>
      <c r="M83" s="6" t="s">
        <v>421</v>
      </c>
      <c r="N83" s="6" t="s">
        <v>422</v>
      </c>
      <c r="O83" s="2"/>
      <c r="P83" s="2"/>
      <c r="Q83" s="5" t="s">
        <v>59</v>
      </c>
      <c r="R83" s="5" t="s">
        <v>724</v>
      </c>
      <c r="S83" s="43">
        <v>1</v>
      </c>
      <c r="T83" s="2"/>
      <c r="U83" s="2"/>
      <c r="V83" s="2"/>
      <c r="W83" s="2"/>
      <c r="X83" s="2"/>
      <c r="Y83" s="2"/>
      <c r="Z83" s="2"/>
      <c r="AA83" s="2"/>
      <c r="AB83" s="2"/>
      <c r="AC83" s="2"/>
      <c r="AD83" s="2"/>
      <c r="AE83" s="2"/>
      <c r="AF83" s="2"/>
      <c r="AG83" s="2"/>
      <c r="AH83" s="2"/>
      <c r="AI83" s="2"/>
      <c r="AJ83" s="2"/>
      <c r="AK83" s="2"/>
      <c r="AL83" s="2"/>
      <c r="AM83" s="2"/>
      <c r="AN83" s="2"/>
      <c r="AO83" s="2"/>
      <c r="AP83" s="2"/>
      <c r="AQ83" s="2"/>
      <c r="AR83" s="22">
        <f t="shared" si="5"/>
        <v>0</v>
      </c>
      <c r="AS83" s="22">
        <f t="shared" si="5"/>
        <v>0</v>
      </c>
      <c r="AT83" s="19" t="e">
        <f t="shared" si="4"/>
        <v>#DIV/0!</v>
      </c>
      <c r="AU83" s="2"/>
      <c r="AV83" s="29"/>
    </row>
    <row r="84" spans="2:48" ht="204" hidden="1" x14ac:dyDescent="0.25">
      <c r="B84" s="34">
        <v>74</v>
      </c>
      <c r="C84" s="2" t="s">
        <v>865</v>
      </c>
      <c r="D84" s="6" t="s">
        <v>866</v>
      </c>
      <c r="E84" s="2" t="s">
        <v>867</v>
      </c>
      <c r="F84" s="6" t="s">
        <v>208</v>
      </c>
      <c r="G84" s="6" t="s">
        <v>209</v>
      </c>
      <c r="H84" s="2" t="s">
        <v>210</v>
      </c>
      <c r="I84" s="2" t="s">
        <v>42</v>
      </c>
      <c r="J84" s="2" t="s">
        <v>89</v>
      </c>
      <c r="K84" s="2" t="s">
        <v>44</v>
      </c>
      <c r="L84" s="2" t="s">
        <v>69</v>
      </c>
      <c r="M84" s="6" t="s">
        <v>211</v>
      </c>
      <c r="N84" s="6" t="s">
        <v>212</v>
      </c>
      <c r="O84" s="2"/>
      <c r="P84" s="2"/>
      <c r="Q84" s="5" t="s">
        <v>59</v>
      </c>
      <c r="R84" s="5" t="s">
        <v>72</v>
      </c>
      <c r="S84" s="43">
        <v>0.05</v>
      </c>
      <c r="T84" s="2"/>
      <c r="U84" s="2"/>
      <c r="V84" s="2"/>
      <c r="W84" s="2"/>
      <c r="X84" s="2">
        <v>150</v>
      </c>
      <c r="Y84" s="2">
        <v>3</v>
      </c>
      <c r="Z84" s="2"/>
      <c r="AA84" s="2"/>
      <c r="AB84" s="2"/>
      <c r="AC84" s="2"/>
      <c r="AD84" s="2"/>
      <c r="AE84" s="2"/>
      <c r="AF84" s="2"/>
      <c r="AG84" s="2"/>
      <c r="AH84" s="2"/>
      <c r="AI84" s="2"/>
      <c r="AJ84" s="2"/>
      <c r="AK84" s="2"/>
      <c r="AL84" s="2"/>
      <c r="AM84" s="2"/>
      <c r="AN84" s="2"/>
      <c r="AO84" s="2"/>
      <c r="AP84" s="2"/>
      <c r="AQ84" s="2"/>
      <c r="AR84" s="22">
        <f t="shared" si="5"/>
        <v>150</v>
      </c>
      <c r="AS84" s="22">
        <f t="shared" si="5"/>
        <v>3</v>
      </c>
      <c r="AT84" s="19">
        <f t="shared" si="4"/>
        <v>0.02</v>
      </c>
      <c r="AU84" s="47" t="s">
        <v>666</v>
      </c>
      <c r="AV84" s="29"/>
    </row>
    <row r="85" spans="2:48" ht="204" x14ac:dyDescent="0.25">
      <c r="B85" s="34">
        <v>75</v>
      </c>
      <c r="C85" s="2" t="s">
        <v>865</v>
      </c>
      <c r="D85" s="6" t="s">
        <v>866</v>
      </c>
      <c r="E85" s="2" t="s">
        <v>868</v>
      </c>
      <c r="F85" s="6" t="s">
        <v>555</v>
      </c>
      <c r="G85" s="6" t="s">
        <v>556</v>
      </c>
      <c r="H85" s="2" t="s">
        <v>210</v>
      </c>
      <c r="I85" s="2" t="s">
        <v>141</v>
      </c>
      <c r="J85" s="2" t="s">
        <v>369</v>
      </c>
      <c r="K85" s="2" t="s">
        <v>44</v>
      </c>
      <c r="L85" s="2" t="s">
        <v>150</v>
      </c>
      <c r="M85" s="6" t="s">
        <v>557</v>
      </c>
      <c r="N85" s="6" t="s">
        <v>558</v>
      </c>
      <c r="O85" s="2"/>
      <c r="P85" s="2"/>
      <c r="Q85" s="5" t="s">
        <v>59</v>
      </c>
      <c r="R85" s="5" t="s">
        <v>724</v>
      </c>
      <c r="S85" s="43">
        <v>1</v>
      </c>
      <c r="T85" s="2"/>
      <c r="U85" s="2"/>
      <c r="V85" s="2"/>
      <c r="W85" s="2"/>
      <c r="X85" s="2">
        <v>61</v>
      </c>
      <c r="Y85" s="2">
        <v>61</v>
      </c>
      <c r="Z85" s="2"/>
      <c r="AA85" s="2"/>
      <c r="AB85" s="2"/>
      <c r="AC85" s="2"/>
      <c r="AD85" s="2"/>
      <c r="AE85" s="2"/>
      <c r="AF85" s="2"/>
      <c r="AG85" s="2"/>
      <c r="AH85" s="2"/>
      <c r="AI85" s="2"/>
      <c r="AJ85" s="2"/>
      <c r="AK85" s="2"/>
      <c r="AL85" s="2"/>
      <c r="AM85" s="2"/>
      <c r="AN85" s="2"/>
      <c r="AO85" s="2"/>
      <c r="AP85" s="2"/>
      <c r="AQ85" s="2"/>
      <c r="AR85" s="22">
        <f t="shared" si="5"/>
        <v>61</v>
      </c>
      <c r="AS85" s="22">
        <f t="shared" si="5"/>
        <v>61</v>
      </c>
      <c r="AT85" s="19">
        <f t="shared" si="4"/>
        <v>1</v>
      </c>
      <c r="AU85" s="47" t="s">
        <v>666</v>
      </c>
      <c r="AV85" s="29"/>
    </row>
    <row r="86" spans="2:48" ht="76.5" x14ac:dyDescent="0.25">
      <c r="B86" s="34">
        <v>76</v>
      </c>
      <c r="C86" s="2" t="s">
        <v>869</v>
      </c>
      <c r="D86" s="6" t="s">
        <v>870</v>
      </c>
      <c r="E86" s="2" t="s">
        <v>871</v>
      </c>
      <c r="F86" s="6" t="s">
        <v>872</v>
      </c>
      <c r="G86" s="6" t="s">
        <v>873</v>
      </c>
      <c r="H86" s="2" t="s">
        <v>362</v>
      </c>
      <c r="I86" s="2" t="s">
        <v>141</v>
      </c>
      <c r="J86" s="2" t="s">
        <v>369</v>
      </c>
      <c r="K86" s="2" t="s">
        <v>44</v>
      </c>
      <c r="L86" s="2" t="s">
        <v>45</v>
      </c>
      <c r="M86" s="6" t="s">
        <v>577</v>
      </c>
      <c r="N86" s="6" t="s">
        <v>578</v>
      </c>
      <c r="O86" s="2"/>
      <c r="P86" s="2"/>
      <c r="Q86" s="5" t="s">
        <v>59</v>
      </c>
      <c r="R86" s="5" t="s">
        <v>724</v>
      </c>
      <c r="S86" s="43">
        <v>1</v>
      </c>
      <c r="T86" s="2">
        <v>40</v>
      </c>
      <c r="U86" s="2">
        <v>40</v>
      </c>
      <c r="V86" s="2">
        <v>42</v>
      </c>
      <c r="W86" s="2">
        <v>42</v>
      </c>
      <c r="X86" s="2">
        <v>24</v>
      </c>
      <c r="Y86" s="2">
        <v>24</v>
      </c>
      <c r="Z86" s="2"/>
      <c r="AA86" s="2"/>
      <c r="AB86" s="2"/>
      <c r="AC86" s="2"/>
      <c r="AD86" s="2"/>
      <c r="AE86" s="2"/>
      <c r="AF86" s="2"/>
      <c r="AG86" s="2"/>
      <c r="AH86" s="2"/>
      <c r="AI86" s="2"/>
      <c r="AJ86" s="2"/>
      <c r="AK86" s="2"/>
      <c r="AL86" s="2"/>
      <c r="AM86" s="2"/>
      <c r="AN86" s="2"/>
      <c r="AO86" s="2"/>
      <c r="AP86" s="2"/>
      <c r="AQ86" s="2"/>
      <c r="AR86" s="22">
        <f t="shared" si="5"/>
        <v>106</v>
      </c>
      <c r="AS86" s="22">
        <f t="shared" si="5"/>
        <v>106</v>
      </c>
      <c r="AT86" s="19">
        <f t="shared" si="4"/>
        <v>1</v>
      </c>
      <c r="AU86" s="47" t="s">
        <v>666</v>
      </c>
      <c r="AV86" s="29"/>
    </row>
    <row r="87" spans="2:48" ht="51" x14ac:dyDescent="0.25">
      <c r="B87" s="34">
        <v>77</v>
      </c>
      <c r="C87" s="2" t="s">
        <v>869</v>
      </c>
      <c r="D87" s="6" t="s">
        <v>870</v>
      </c>
      <c r="E87" s="2" t="s">
        <v>874</v>
      </c>
      <c r="F87" s="6" t="s">
        <v>544</v>
      </c>
      <c r="G87" s="6" t="s">
        <v>545</v>
      </c>
      <c r="H87" s="2" t="s">
        <v>362</v>
      </c>
      <c r="I87" s="2" t="s">
        <v>42</v>
      </c>
      <c r="J87" s="2" t="s">
        <v>113</v>
      </c>
      <c r="K87" s="2" t="s">
        <v>44</v>
      </c>
      <c r="L87" s="2" t="s">
        <v>102</v>
      </c>
      <c r="M87" s="6" t="s">
        <v>546</v>
      </c>
      <c r="N87" s="6" t="s">
        <v>547</v>
      </c>
      <c r="O87" s="2"/>
      <c r="P87" s="2"/>
      <c r="Q87" s="5" t="s">
        <v>59</v>
      </c>
      <c r="R87" s="5" t="s">
        <v>724</v>
      </c>
      <c r="S87" s="43">
        <v>0.85</v>
      </c>
      <c r="T87" s="2"/>
      <c r="U87" s="2"/>
      <c r="V87" s="2"/>
      <c r="W87" s="2"/>
      <c r="X87" s="2"/>
      <c r="Y87" s="2"/>
      <c r="Z87" s="2"/>
      <c r="AA87" s="2"/>
      <c r="AB87" s="2"/>
      <c r="AC87" s="2"/>
      <c r="AD87" s="2"/>
      <c r="AE87" s="2"/>
      <c r="AF87" s="2"/>
      <c r="AG87" s="2"/>
      <c r="AH87" s="2"/>
      <c r="AI87" s="2"/>
      <c r="AJ87" s="2"/>
      <c r="AK87" s="2"/>
      <c r="AL87" s="2"/>
      <c r="AM87" s="2"/>
      <c r="AN87" s="2"/>
      <c r="AO87" s="2"/>
      <c r="AP87" s="2"/>
      <c r="AQ87" s="2"/>
      <c r="AR87" s="22">
        <f>+T87+V87+X87+Z87+AB87+AD87+AF87+AH87+AJ87+AL87+AN87+AP87</f>
        <v>0</v>
      </c>
      <c r="AS87" s="22">
        <f>+U87+W87+Y87+AA87+AC87+AE87+AG87+AI87+AK87+AM87+AO87+AQ87</f>
        <v>0</v>
      </c>
      <c r="AT87" s="19" t="e">
        <f t="shared" si="4"/>
        <v>#DIV/0!</v>
      </c>
      <c r="AU87" s="2"/>
      <c r="AV87" s="29"/>
    </row>
    <row r="88" spans="2:48" ht="90" thickBot="1" x14ac:dyDescent="0.3">
      <c r="B88" s="34">
        <v>78</v>
      </c>
      <c r="C88" s="30" t="s">
        <v>875</v>
      </c>
      <c r="D88" s="31" t="s">
        <v>876</v>
      </c>
      <c r="E88" s="30" t="s">
        <v>877</v>
      </c>
      <c r="F88" s="31" t="s">
        <v>186</v>
      </c>
      <c r="G88" s="31" t="s">
        <v>187</v>
      </c>
      <c r="H88" s="30" t="s">
        <v>878</v>
      </c>
      <c r="I88" s="30" t="s">
        <v>42</v>
      </c>
      <c r="J88" s="30" t="s">
        <v>369</v>
      </c>
      <c r="K88" s="30" t="s">
        <v>44</v>
      </c>
      <c r="L88" s="30" t="s">
        <v>69</v>
      </c>
      <c r="M88" s="31" t="s">
        <v>879</v>
      </c>
      <c r="N88" s="31" t="s">
        <v>880</v>
      </c>
      <c r="O88" s="30"/>
      <c r="P88" s="30"/>
      <c r="Q88" s="33" t="s">
        <v>59</v>
      </c>
      <c r="R88" s="33" t="s">
        <v>724</v>
      </c>
      <c r="S88" s="46">
        <v>1</v>
      </c>
      <c r="T88" s="30"/>
      <c r="U88" s="30"/>
      <c r="V88" s="30"/>
      <c r="W88" s="30"/>
      <c r="X88" s="30">
        <v>24</v>
      </c>
      <c r="Y88" s="30">
        <v>23</v>
      </c>
      <c r="Z88" s="30"/>
      <c r="AA88" s="30"/>
      <c r="AB88" s="30"/>
      <c r="AC88" s="30"/>
      <c r="AD88" s="30"/>
      <c r="AE88" s="30"/>
      <c r="AF88" s="30"/>
      <c r="AG88" s="30"/>
      <c r="AH88" s="30"/>
      <c r="AI88" s="30"/>
      <c r="AJ88" s="30"/>
      <c r="AK88" s="30"/>
      <c r="AL88" s="30"/>
      <c r="AM88" s="30"/>
      <c r="AN88" s="30"/>
      <c r="AO88" s="30"/>
      <c r="AP88" s="30"/>
      <c r="AQ88" s="30"/>
      <c r="AR88" s="22">
        <f>+T88+V88+X88+Z88+AB88+AD88+AF88+AH88+AJ88+AL88+AN88+AP88</f>
        <v>24</v>
      </c>
      <c r="AS88" s="22">
        <f>+U88+W88+Y88+AA88+AC88+AE88+AG88+AI88+AK88+AM88+AO88+AQ88</f>
        <v>23</v>
      </c>
      <c r="AT88" s="19">
        <f t="shared" si="4"/>
        <v>0.95833333333333337</v>
      </c>
      <c r="AU88" s="47" t="s">
        <v>666</v>
      </c>
      <c r="AV88" s="32"/>
    </row>
    <row r="89" spans="2:48" ht="90" thickBot="1" x14ac:dyDescent="0.3">
      <c r="B89" s="34">
        <v>79</v>
      </c>
      <c r="C89" s="30" t="s">
        <v>875</v>
      </c>
      <c r="D89" s="6" t="s">
        <v>876</v>
      </c>
      <c r="E89" s="2" t="s">
        <v>881</v>
      </c>
      <c r="F89" s="6" t="s">
        <v>548</v>
      </c>
      <c r="G89" s="6" t="s">
        <v>549</v>
      </c>
      <c r="H89" s="2" t="s">
        <v>550</v>
      </c>
      <c r="I89" s="2" t="s">
        <v>141</v>
      </c>
      <c r="J89" s="30" t="s">
        <v>369</v>
      </c>
      <c r="K89" s="2" t="s">
        <v>44</v>
      </c>
      <c r="L89" s="2" t="s">
        <v>69</v>
      </c>
      <c r="M89" s="6" t="s">
        <v>882</v>
      </c>
      <c r="N89" s="6" t="s">
        <v>552</v>
      </c>
      <c r="O89" s="2"/>
      <c r="P89" s="2"/>
      <c r="Q89" s="5" t="s">
        <v>59</v>
      </c>
      <c r="R89" s="5" t="s">
        <v>724</v>
      </c>
      <c r="S89" s="43">
        <v>1</v>
      </c>
      <c r="T89" s="2"/>
      <c r="U89" s="2"/>
      <c r="V89" s="2"/>
      <c r="W89" s="2"/>
      <c r="X89" s="2">
        <v>5</v>
      </c>
      <c r="Y89" s="2">
        <v>5</v>
      </c>
      <c r="Z89" s="2"/>
      <c r="AA89" s="2"/>
      <c r="AB89" s="2"/>
      <c r="AC89" s="2"/>
      <c r="AD89" s="2"/>
      <c r="AE89" s="2"/>
      <c r="AF89" s="2"/>
      <c r="AG89" s="2"/>
      <c r="AH89" s="2"/>
      <c r="AI89" s="2"/>
      <c r="AJ89" s="2"/>
      <c r="AK89" s="2"/>
      <c r="AL89" s="2"/>
      <c r="AM89" s="2"/>
      <c r="AN89" s="2"/>
      <c r="AO89" s="2"/>
      <c r="AP89" s="2"/>
      <c r="AQ89" s="2"/>
      <c r="AR89" s="22">
        <f t="shared" si="5"/>
        <v>5</v>
      </c>
      <c r="AS89" s="22">
        <f t="shared" si="5"/>
        <v>5</v>
      </c>
      <c r="AT89" s="19">
        <f t="shared" si="4"/>
        <v>1</v>
      </c>
      <c r="AU89" s="47" t="s">
        <v>666</v>
      </c>
      <c r="AV89" s="29"/>
    </row>
    <row r="90" spans="2:48" ht="153" x14ac:dyDescent="0.25">
      <c r="B90" s="34">
        <v>9</v>
      </c>
      <c r="C90" s="5" t="s">
        <v>640</v>
      </c>
      <c r="D90" s="5" t="s">
        <v>649</v>
      </c>
      <c r="E90" s="5" t="s">
        <v>883</v>
      </c>
      <c r="F90" s="5" t="s">
        <v>884</v>
      </c>
      <c r="G90" s="5" t="s">
        <v>885</v>
      </c>
      <c r="H90" s="5" t="s">
        <v>67</v>
      </c>
      <c r="I90" s="5" t="s">
        <v>42</v>
      </c>
      <c r="J90" s="5" t="s">
        <v>113</v>
      </c>
      <c r="K90" s="5" t="s">
        <v>44</v>
      </c>
      <c r="L90" s="5" t="s">
        <v>45</v>
      </c>
      <c r="M90" s="5" t="s">
        <v>886</v>
      </c>
      <c r="N90" s="5" t="s">
        <v>887</v>
      </c>
      <c r="O90" s="5"/>
      <c r="P90" s="5"/>
      <c r="Q90" s="5" t="s">
        <v>86</v>
      </c>
      <c r="R90" s="5" t="s">
        <v>724</v>
      </c>
      <c r="S90" s="43">
        <v>1</v>
      </c>
      <c r="T90" s="5">
        <v>2</v>
      </c>
      <c r="U90" s="5">
        <v>392</v>
      </c>
      <c r="V90" s="5">
        <v>1</v>
      </c>
      <c r="W90" s="5">
        <v>392</v>
      </c>
      <c r="X90" s="5">
        <v>0</v>
      </c>
      <c r="Y90" s="5">
        <v>392</v>
      </c>
      <c r="Z90" s="52">
        <v>3</v>
      </c>
      <c r="AA90" s="52">
        <v>1176</v>
      </c>
      <c r="AB90" s="51">
        <v>7.7000000000000002E-3</v>
      </c>
      <c r="AC90" s="71" t="s">
        <v>666</v>
      </c>
      <c r="AD90" s="69"/>
      <c r="AR90" s="61"/>
      <c r="AS90" s="61"/>
      <c r="AT90" s="75"/>
      <c r="AU90" s="76"/>
    </row>
    <row r="91" spans="2:48" ht="153" x14ac:dyDescent="0.25">
      <c r="B91" s="34">
        <v>10</v>
      </c>
      <c r="C91" s="2" t="s">
        <v>640</v>
      </c>
      <c r="D91" s="6" t="s">
        <v>649</v>
      </c>
      <c r="E91" s="2" t="s">
        <v>888</v>
      </c>
      <c r="F91" s="6" t="s">
        <v>889</v>
      </c>
      <c r="G91" s="6" t="s">
        <v>889</v>
      </c>
      <c r="H91" s="1" t="s">
        <v>67</v>
      </c>
      <c r="I91" s="2" t="s">
        <v>83</v>
      </c>
      <c r="J91" s="2" t="s">
        <v>89</v>
      </c>
      <c r="K91" s="2" t="s">
        <v>44</v>
      </c>
      <c r="L91" s="2" t="s">
        <v>45</v>
      </c>
      <c r="M91" s="6" t="s">
        <v>890</v>
      </c>
      <c r="N91" s="6" t="s">
        <v>891</v>
      </c>
      <c r="O91" s="2"/>
      <c r="P91" s="2"/>
      <c r="Q91" s="5" t="s">
        <v>86</v>
      </c>
      <c r="R91" s="5" t="s">
        <v>724</v>
      </c>
      <c r="S91" s="43" t="s">
        <v>892</v>
      </c>
      <c r="T91" s="2">
        <v>0</v>
      </c>
      <c r="U91" s="2">
        <v>30</v>
      </c>
      <c r="V91" s="2">
        <v>0</v>
      </c>
      <c r="W91" s="2">
        <v>40</v>
      </c>
      <c r="X91" s="2">
        <v>23</v>
      </c>
      <c r="Y91" s="2">
        <v>40</v>
      </c>
      <c r="Z91" s="52">
        <v>23</v>
      </c>
      <c r="AA91" s="52">
        <v>110</v>
      </c>
      <c r="AB91" s="73">
        <v>0.20909090909090908</v>
      </c>
      <c r="AC91" s="72" t="s">
        <v>893</v>
      </c>
      <c r="AD91" s="29"/>
      <c r="AR91" s="61"/>
      <c r="AS91" s="61"/>
      <c r="AT91" s="75"/>
      <c r="AU91" s="76"/>
    </row>
    <row r="92" spans="2:48" ht="76.5" x14ac:dyDescent="0.25">
      <c r="B92" s="34">
        <v>31</v>
      </c>
      <c r="C92" s="2" t="s">
        <v>726</v>
      </c>
      <c r="D92" s="6" t="s">
        <v>727</v>
      </c>
      <c r="E92" s="2" t="s">
        <v>728</v>
      </c>
      <c r="F92" s="6" t="s">
        <v>732</v>
      </c>
      <c r="G92" s="6" t="s">
        <v>733</v>
      </c>
      <c r="H92" s="2" t="s">
        <v>236</v>
      </c>
      <c r="I92" s="2" t="s">
        <v>42</v>
      </c>
      <c r="J92" s="2" t="s">
        <v>113</v>
      </c>
      <c r="K92" s="2" t="s">
        <v>44</v>
      </c>
      <c r="L92" s="2" t="s">
        <v>69</v>
      </c>
      <c r="M92" s="6" t="s">
        <v>734</v>
      </c>
      <c r="N92" s="6" t="s">
        <v>735</v>
      </c>
      <c r="O92" s="2"/>
      <c r="P92" s="2"/>
      <c r="Q92" s="5" t="s">
        <v>202</v>
      </c>
      <c r="R92" s="5" t="s">
        <v>724</v>
      </c>
      <c r="S92" s="43"/>
      <c r="T92" s="2"/>
      <c r="U92" s="2"/>
      <c r="V92" s="2"/>
      <c r="W92" s="2"/>
      <c r="X92" s="2"/>
      <c r="Y92" s="2"/>
      <c r="Z92" s="2"/>
      <c r="AA92" s="2"/>
      <c r="AB92" s="2"/>
      <c r="AC92" s="2"/>
      <c r="AD92" s="22"/>
      <c r="AE92" s="22"/>
      <c r="AF92" s="50"/>
      <c r="AG92" s="62"/>
      <c r="AH92" s="29"/>
      <c r="AT92" s="3"/>
    </row>
    <row r="93" spans="2:48" ht="89.25" x14ac:dyDescent="0.25">
      <c r="B93" s="34">
        <f>B92+1</f>
        <v>32</v>
      </c>
      <c r="C93" s="1" t="s">
        <v>749</v>
      </c>
      <c r="D93" s="1" t="s">
        <v>750</v>
      </c>
      <c r="E93" s="1" t="s">
        <v>752</v>
      </c>
      <c r="F93" s="1" t="s">
        <v>894</v>
      </c>
      <c r="G93" s="79" t="s">
        <v>895</v>
      </c>
      <c r="H93" s="1" t="s">
        <v>280</v>
      </c>
      <c r="I93" s="1" t="s">
        <v>42</v>
      </c>
      <c r="J93" s="1" t="s">
        <v>113</v>
      </c>
      <c r="K93" s="1" t="s">
        <v>44</v>
      </c>
      <c r="L93" s="1" t="s">
        <v>69</v>
      </c>
      <c r="M93" s="1" t="s">
        <v>756</v>
      </c>
      <c r="N93" s="1" t="s">
        <v>896</v>
      </c>
      <c r="O93" s="1"/>
      <c r="P93" s="1"/>
      <c r="Q93" s="5" t="s">
        <v>59</v>
      </c>
      <c r="R93" s="5" t="s">
        <v>724</v>
      </c>
      <c r="S93" s="80"/>
      <c r="AD93" s="61"/>
      <c r="AE93" s="61"/>
      <c r="AF93" s="81"/>
      <c r="AG93" s="82"/>
      <c r="AT93" s="3"/>
    </row>
    <row r="94" spans="2:48" ht="127.5" x14ac:dyDescent="0.25">
      <c r="B94" s="34">
        <f>B93+1</f>
        <v>33</v>
      </c>
      <c r="C94" s="1" t="s">
        <v>749</v>
      </c>
      <c r="D94" s="1" t="s">
        <v>750</v>
      </c>
      <c r="E94" s="1" t="s">
        <v>750</v>
      </c>
      <c r="F94" s="1" t="s">
        <v>757</v>
      </c>
      <c r="G94" s="79" t="s">
        <v>758</v>
      </c>
      <c r="H94" s="1" t="s">
        <v>280</v>
      </c>
      <c r="I94" s="1" t="s">
        <v>42</v>
      </c>
      <c r="J94" s="1" t="s">
        <v>369</v>
      </c>
      <c r="K94" s="1" t="s">
        <v>44</v>
      </c>
      <c r="L94" s="1" t="s">
        <v>295</v>
      </c>
      <c r="M94" s="1" t="s">
        <v>759</v>
      </c>
      <c r="N94" s="1" t="s">
        <v>760</v>
      </c>
      <c r="O94" s="1"/>
      <c r="P94" s="1"/>
      <c r="Q94" s="5" t="s">
        <v>59</v>
      </c>
      <c r="R94" s="5" t="s">
        <v>724</v>
      </c>
      <c r="S94" s="80"/>
      <c r="AD94" s="61"/>
      <c r="AE94" s="61"/>
      <c r="AF94" s="81"/>
      <c r="AG94" s="82"/>
      <c r="AT94" s="3"/>
    </row>
    <row r="95" spans="2:48" ht="89.25" x14ac:dyDescent="0.25">
      <c r="B95" s="34">
        <f>B94+1</f>
        <v>34</v>
      </c>
      <c r="C95" s="1" t="s">
        <v>749</v>
      </c>
      <c r="D95" s="1" t="s">
        <v>750</v>
      </c>
      <c r="E95" s="1" t="s">
        <v>752</v>
      </c>
      <c r="F95" s="1" t="s">
        <v>765</v>
      </c>
      <c r="G95" s="79" t="s">
        <v>766</v>
      </c>
      <c r="H95" s="1" t="s">
        <v>280</v>
      </c>
      <c r="I95" s="1" t="s">
        <v>42</v>
      </c>
      <c r="J95" s="1" t="s">
        <v>113</v>
      </c>
      <c r="K95" s="1" t="s">
        <v>44</v>
      </c>
      <c r="L95" s="1" t="s">
        <v>295</v>
      </c>
      <c r="M95" s="1" t="s">
        <v>380</v>
      </c>
      <c r="N95" s="1" t="s">
        <v>381</v>
      </c>
      <c r="O95" s="1"/>
      <c r="P95" s="1"/>
      <c r="Q95" s="5" t="s">
        <v>59</v>
      </c>
      <c r="R95" s="5" t="s">
        <v>724</v>
      </c>
      <c r="S95" s="80"/>
      <c r="AD95" s="61"/>
      <c r="AE95" s="61"/>
      <c r="AF95" s="81"/>
      <c r="AG95" s="82"/>
      <c r="AT95" s="3"/>
    </row>
    <row r="96" spans="2:48" ht="89.25" x14ac:dyDescent="0.25">
      <c r="B96" s="34">
        <f>B95+1</f>
        <v>35</v>
      </c>
      <c r="C96" s="1" t="s">
        <v>749</v>
      </c>
      <c r="D96" s="1" t="s">
        <v>750</v>
      </c>
      <c r="E96" s="1" t="s">
        <v>752</v>
      </c>
      <c r="F96" s="1" t="s">
        <v>767</v>
      </c>
      <c r="G96" s="79" t="s">
        <v>768</v>
      </c>
      <c r="H96" s="1" t="s">
        <v>280</v>
      </c>
      <c r="I96" s="1" t="s">
        <v>42</v>
      </c>
      <c r="J96" s="1" t="s">
        <v>113</v>
      </c>
      <c r="K96" s="1" t="s">
        <v>44</v>
      </c>
      <c r="L96" s="1" t="s">
        <v>295</v>
      </c>
      <c r="M96" s="1" t="s">
        <v>769</v>
      </c>
      <c r="N96" s="1" t="s">
        <v>770</v>
      </c>
      <c r="O96" s="1"/>
      <c r="P96" s="1"/>
      <c r="Q96" s="5" t="s">
        <v>59</v>
      </c>
      <c r="R96" s="5" t="s">
        <v>724</v>
      </c>
      <c r="S96" s="80"/>
      <c r="AD96" s="61"/>
      <c r="AE96" s="61"/>
      <c r="AF96" s="81"/>
      <c r="AG96" s="82"/>
      <c r="AT96" s="3"/>
    </row>
    <row r="97" spans="2:49" ht="24.75" hidden="1" customHeight="1" x14ac:dyDescent="0.25"/>
    <row r="98" spans="2:49" ht="24.75" customHeight="1" x14ac:dyDescent="0.25">
      <c r="B98" s="34">
        <f>B97+1</f>
        <v>1</v>
      </c>
      <c r="C98" s="1" t="s">
        <v>640</v>
      </c>
      <c r="D98" s="1" t="s">
        <v>649</v>
      </c>
      <c r="E98" s="1" t="s">
        <v>642</v>
      </c>
      <c r="F98" s="1" t="s">
        <v>655</v>
      </c>
      <c r="G98" s="1" t="s">
        <v>656</v>
      </c>
      <c r="H98" s="1" t="s">
        <v>67</v>
      </c>
      <c r="I98" s="1" t="s">
        <v>42</v>
      </c>
      <c r="J98" s="1" t="s">
        <v>113</v>
      </c>
      <c r="K98" s="1" t="s">
        <v>44</v>
      </c>
      <c r="L98" s="1" t="s">
        <v>69</v>
      </c>
      <c r="M98" s="1" t="s">
        <v>657</v>
      </c>
      <c r="N98" s="1" t="s">
        <v>658</v>
      </c>
      <c r="O98" s="1"/>
      <c r="P98" s="1"/>
      <c r="Q98" s="5" t="s">
        <v>86</v>
      </c>
      <c r="R98" s="5" t="s">
        <v>724</v>
      </c>
      <c r="S98" s="43">
        <v>1</v>
      </c>
      <c r="T98" s="1"/>
      <c r="U98" s="1"/>
      <c r="V98" s="1"/>
      <c r="W98" s="1"/>
      <c r="X98" s="1"/>
      <c r="Y98" s="1"/>
      <c r="Z98" s="2"/>
      <c r="AA98" s="2"/>
      <c r="AB98" s="2"/>
      <c r="AC98" s="2"/>
      <c r="AD98" s="5"/>
      <c r="AE98" s="5"/>
      <c r="AF98" s="2"/>
      <c r="AG98" s="2"/>
      <c r="AH98" s="2"/>
      <c r="AI98" s="2"/>
      <c r="AJ98" s="2"/>
      <c r="AK98" s="2"/>
      <c r="AL98" s="2"/>
      <c r="AM98" s="2"/>
      <c r="AN98" s="2"/>
      <c r="AO98" s="2"/>
      <c r="AP98" s="5"/>
      <c r="AQ98" s="5"/>
      <c r="AR98" s="52"/>
      <c r="AS98" s="52"/>
      <c r="AT98" s="52"/>
      <c r="AU98" s="89"/>
      <c r="AV98" s="96" t="s">
        <v>897</v>
      </c>
      <c r="AW98" s="90"/>
    </row>
    <row r="99" spans="2:49" ht="24.75" customHeight="1" x14ac:dyDescent="0.25">
      <c r="B99" s="34">
        <v>25</v>
      </c>
      <c r="C99" s="1" t="s">
        <v>710</v>
      </c>
      <c r="D99" s="1" t="s">
        <v>711</v>
      </c>
      <c r="E99" s="1" t="s">
        <v>714</v>
      </c>
      <c r="F99" s="1" t="s">
        <v>715</v>
      </c>
      <c r="G99" s="1" t="s">
        <v>716</v>
      </c>
      <c r="H99" s="1" t="s">
        <v>130</v>
      </c>
      <c r="I99" s="1" t="s">
        <v>42</v>
      </c>
      <c r="J99" s="1" t="s">
        <v>369</v>
      </c>
      <c r="K99" s="1" t="s">
        <v>44</v>
      </c>
      <c r="L99" s="1" t="s">
        <v>69</v>
      </c>
      <c r="M99" s="1" t="s">
        <v>717</v>
      </c>
      <c r="N99" s="1" t="s">
        <v>718</v>
      </c>
      <c r="O99" s="1"/>
      <c r="P99" s="1"/>
      <c r="Q99" s="5" t="s">
        <v>86</v>
      </c>
      <c r="R99" s="5" t="s">
        <v>724</v>
      </c>
      <c r="S99" s="80"/>
      <c r="T99" s="63"/>
      <c r="U99" s="63"/>
      <c r="V99" s="63"/>
      <c r="W99" s="63"/>
      <c r="X99" s="63"/>
      <c r="Y99" s="63"/>
      <c r="AD99" s="4"/>
      <c r="AE99" s="4"/>
      <c r="AP99" s="4"/>
      <c r="AQ99" s="4"/>
      <c r="AR99" s="70"/>
      <c r="AS99" s="70"/>
      <c r="AT99" s="70"/>
      <c r="AU99" s="97"/>
      <c r="AV99" s="96" t="s">
        <v>898</v>
      </c>
      <c r="AW99" s="98"/>
    </row>
    <row r="100" spans="2:49" ht="13.5" thickBot="1" x14ac:dyDescent="0.3"/>
    <row r="101" spans="2:49" ht="60" customHeight="1" thickBot="1" x14ac:dyDescent="0.3">
      <c r="B101" s="349" t="s">
        <v>899</v>
      </c>
      <c r="C101" s="350"/>
      <c r="D101" s="350"/>
      <c r="E101" s="350"/>
      <c r="F101" s="350"/>
      <c r="G101" s="350"/>
      <c r="H101" s="350"/>
      <c r="I101" s="350"/>
      <c r="J101" s="350"/>
      <c r="K101" s="350"/>
      <c r="L101" s="350"/>
      <c r="M101" s="350"/>
      <c r="N101" s="350"/>
      <c r="O101" s="350"/>
      <c r="P101" s="350"/>
      <c r="Q101" s="350"/>
      <c r="R101" s="350"/>
      <c r="S101" s="350"/>
      <c r="T101" s="350"/>
      <c r="U101" s="350"/>
      <c r="V101" s="350"/>
      <c r="W101" s="350"/>
      <c r="X101" s="350"/>
      <c r="Y101" s="350"/>
      <c r="Z101" s="350"/>
      <c r="AA101" s="350"/>
      <c r="AB101" s="350"/>
      <c r="AC101" s="350"/>
      <c r="AD101" s="350"/>
      <c r="AE101" s="350"/>
      <c r="AF101" s="350"/>
      <c r="AG101" s="350"/>
      <c r="AH101" s="350"/>
      <c r="AI101" s="350"/>
      <c r="AJ101" s="350"/>
      <c r="AK101" s="350"/>
      <c r="AL101" s="350"/>
      <c r="AM101" s="350"/>
      <c r="AN101" s="350"/>
      <c r="AO101" s="350"/>
      <c r="AP101" s="350"/>
      <c r="AQ101" s="350"/>
      <c r="AR101" s="350"/>
      <c r="AS101" s="350"/>
      <c r="AT101" s="350"/>
      <c r="AU101" s="350"/>
      <c r="AV101" s="351"/>
    </row>
    <row r="103" spans="2:49" x14ac:dyDescent="0.25">
      <c r="D103" s="7">
        <v>2</v>
      </c>
    </row>
    <row r="104" spans="2:49" x14ac:dyDescent="0.25">
      <c r="D104" s="7">
        <v>7</v>
      </c>
    </row>
    <row r="105" spans="2:49" x14ac:dyDescent="0.25">
      <c r="D105" s="7">
        <v>3</v>
      </c>
    </row>
  </sheetData>
  <autoFilter ref="B9:AW97" xr:uid="{00000000-0009-0000-0000-000002000000}">
    <filterColumn colId="16">
      <filters>
        <filter val="Eliminado"/>
      </filters>
    </filterColumn>
  </autoFilter>
  <mergeCells count="45">
    <mergeCell ref="B101:AV101"/>
    <mergeCell ref="AN8:AO8"/>
    <mergeCell ref="AP8:AQ8"/>
    <mergeCell ref="AR8:AS8"/>
    <mergeCell ref="AT8:AT9"/>
    <mergeCell ref="AU8:AU9"/>
    <mergeCell ref="AV8:AV9"/>
    <mergeCell ref="AB8:AC8"/>
    <mergeCell ref="AD8:AE8"/>
    <mergeCell ref="AF8:AG8"/>
    <mergeCell ref="AH8:AI8"/>
    <mergeCell ref="AJ8:AK8"/>
    <mergeCell ref="AL8:AM8"/>
    <mergeCell ref="R8:R9"/>
    <mergeCell ref="S8:S9"/>
    <mergeCell ref="T8:U8"/>
    <mergeCell ref="V8:W8"/>
    <mergeCell ref="X8:Y8"/>
    <mergeCell ref="Z8:AA8"/>
    <mergeCell ref="AR3:AV3"/>
    <mergeCell ref="AJ4:AQ4"/>
    <mergeCell ref="AR4:AV4"/>
    <mergeCell ref="AJ5:AQ6"/>
    <mergeCell ref="AR5:AV6"/>
    <mergeCell ref="C5:E6"/>
    <mergeCell ref="F5:AI6"/>
    <mergeCell ref="AJ2:AQ2"/>
    <mergeCell ref="AR2:AV2"/>
    <mergeCell ref="AJ3:AQ3"/>
    <mergeCell ref="G8:G9"/>
    <mergeCell ref="H8:H9"/>
    <mergeCell ref="B2:B6"/>
    <mergeCell ref="C2:E4"/>
    <mergeCell ref="F2:AI4"/>
    <mergeCell ref="I8:I9"/>
    <mergeCell ref="J8:J9"/>
    <mergeCell ref="K8:K9"/>
    <mergeCell ref="L8:L9"/>
    <mergeCell ref="M8:P8"/>
    <mergeCell ref="Q8:Q9"/>
    <mergeCell ref="B8:B9"/>
    <mergeCell ref="C8:C9"/>
    <mergeCell ref="D8:D9"/>
    <mergeCell ref="E8:E9"/>
    <mergeCell ref="F8:F9"/>
  </mergeCells>
  <conditionalFormatting sqref="AU98:AU99">
    <cfRule type="cellIs" dxfId="5" priority="1" operator="equal">
      <formula>"Deficiente"</formula>
    </cfRule>
    <cfRule type="cellIs" dxfId="4" priority="2" operator="equal">
      <formula>"Satisfactorio"</formula>
    </cfRule>
    <cfRule type="cellIs" dxfId="3" priority="3" operator="equal">
      <formula>"Sobresaliente"</formula>
    </cfRule>
  </conditionalFormatting>
  <pageMargins left="0.7" right="0.7" top="0.75" bottom="0.75" header="0.3" footer="0.3"/>
  <pageSetup scale="80" orientation="portrait" r:id="rId1"/>
  <rowBreaks count="1" manualBreakCount="1">
    <brk id="18"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8"/>
  <sheetViews>
    <sheetView workbookViewId="0">
      <selection activeCell="H30" sqref="H30"/>
    </sheetView>
  </sheetViews>
  <sheetFormatPr baseColWidth="10" defaultColWidth="11.42578125" defaultRowHeight="15" x14ac:dyDescent="0.25"/>
  <cols>
    <col min="1" max="1" width="21.140625" style="18" customWidth="1"/>
    <col min="2" max="2" width="30.28515625" customWidth="1"/>
    <col min="3" max="3" width="20.85546875" style="18" customWidth="1"/>
    <col min="4" max="4" width="38.140625" customWidth="1"/>
  </cols>
  <sheetData>
    <row r="1" spans="1:4" x14ac:dyDescent="0.25">
      <c r="A1" s="354" t="s">
        <v>900</v>
      </c>
      <c r="B1" s="354"/>
      <c r="C1" s="354" t="s">
        <v>630</v>
      </c>
      <c r="D1" s="354"/>
    </row>
    <row r="2" spans="1:4" ht="16.5" x14ac:dyDescent="0.25">
      <c r="A2" s="16" t="s">
        <v>901</v>
      </c>
      <c r="B2" s="16" t="s">
        <v>902</v>
      </c>
      <c r="C2" s="16" t="s">
        <v>903</v>
      </c>
      <c r="D2" s="16" t="s">
        <v>904</v>
      </c>
    </row>
    <row r="3" spans="1:4" ht="38.25" x14ac:dyDescent="0.25">
      <c r="A3" s="17">
        <v>7507</v>
      </c>
      <c r="B3" s="13" t="s">
        <v>905</v>
      </c>
      <c r="C3" s="10">
        <v>1</v>
      </c>
      <c r="D3" s="14" t="s">
        <v>906</v>
      </c>
    </row>
    <row r="4" spans="1:4" ht="51" x14ac:dyDescent="0.25">
      <c r="A4" s="17">
        <v>7507</v>
      </c>
      <c r="B4" s="13" t="s">
        <v>905</v>
      </c>
      <c r="C4" s="10">
        <v>2</v>
      </c>
      <c r="D4" s="12" t="s">
        <v>907</v>
      </c>
    </row>
    <row r="5" spans="1:4" ht="33" x14ac:dyDescent="0.25">
      <c r="A5" s="17">
        <v>7507</v>
      </c>
      <c r="B5" s="13" t="s">
        <v>905</v>
      </c>
      <c r="C5" s="10">
        <v>4</v>
      </c>
      <c r="D5" s="12" t="s">
        <v>908</v>
      </c>
    </row>
    <row r="6" spans="1:4" ht="33" x14ac:dyDescent="0.25">
      <c r="A6" s="17">
        <v>7507</v>
      </c>
      <c r="B6" s="13" t="s">
        <v>905</v>
      </c>
      <c r="C6" s="10">
        <v>5</v>
      </c>
      <c r="D6" s="12" t="s">
        <v>909</v>
      </c>
    </row>
    <row r="7" spans="1:4" ht="38.25" x14ac:dyDescent="0.25">
      <c r="A7" s="17">
        <v>7507</v>
      </c>
      <c r="B7" s="13" t="s">
        <v>905</v>
      </c>
      <c r="C7" s="10">
        <v>19</v>
      </c>
      <c r="D7" s="12" t="s">
        <v>910</v>
      </c>
    </row>
    <row r="8" spans="1:4" ht="38.25" x14ac:dyDescent="0.25">
      <c r="A8" s="17">
        <v>7507</v>
      </c>
      <c r="B8" s="13" t="s">
        <v>905</v>
      </c>
      <c r="C8" s="10">
        <v>6</v>
      </c>
      <c r="D8" s="12" t="s">
        <v>911</v>
      </c>
    </row>
    <row r="9" spans="1:4" ht="38.25" x14ac:dyDescent="0.25">
      <c r="A9" s="17">
        <v>7507</v>
      </c>
      <c r="B9" s="13" t="s">
        <v>905</v>
      </c>
      <c r="C9" s="10">
        <v>7</v>
      </c>
      <c r="D9" s="14" t="s">
        <v>912</v>
      </c>
    </row>
    <row r="10" spans="1:4" ht="51" x14ac:dyDescent="0.25">
      <c r="A10" s="17">
        <v>7507</v>
      </c>
      <c r="B10" s="13" t="s">
        <v>905</v>
      </c>
      <c r="C10" s="10">
        <v>8</v>
      </c>
      <c r="D10" s="14" t="s">
        <v>913</v>
      </c>
    </row>
    <row r="11" spans="1:4" ht="38.25" x14ac:dyDescent="0.25">
      <c r="A11" s="17">
        <v>7507</v>
      </c>
      <c r="B11" s="13" t="s">
        <v>905</v>
      </c>
      <c r="C11" s="10">
        <v>9</v>
      </c>
      <c r="D11" s="12" t="s">
        <v>914</v>
      </c>
    </row>
    <row r="12" spans="1:4" ht="38.25" x14ac:dyDescent="0.25">
      <c r="A12" s="17">
        <v>7507</v>
      </c>
      <c r="B12" s="13" t="s">
        <v>905</v>
      </c>
      <c r="C12" s="10">
        <v>10</v>
      </c>
      <c r="D12" s="12" t="s">
        <v>915</v>
      </c>
    </row>
    <row r="13" spans="1:4" ht="38.25" x14ac:dyDescent="0.25">
      <c r="A13" s="17">
        <v>7507</v>
      </c>
      <c r="B13" s="13" t="s">
        <v>905</v>
      </c>
      <c r="C13" s="10">
        <v>11</v>
      </c>
      <c r="D13" s="12" t="s">
        <v>916</v>
      </c>
    </row>
    <row r="14" spans="1:4" ht="38.25" x14ac:dyDescent="0.25">
      <c r="A14" s="17">
        <v>7507</v>
      </c>
      <c r="B14" s="13" t="s">
        <v>905</v>
      </c>
      <c r="C14" s="10">
        <v>12</v>
      </c>
      <c r="D14" s="14" t="s">
        <v>917</v>
      </c>
    </row>
    <row r="15" spans="1:4" ht="33" x14ac:dyDescent="0.25">
      <c r="A15" s="17">
        <v>7507</v>
      </c>
      <c r="B15" s="13" t="s">
        <v>905</v>
      </c>
      <c r="C15" s="10">
        <v>13</v>
      </c>
      <c r="D15" s="12" t="s">
        <v>918</v>
      </c>
    </row>
    <row r="16" spans="1:4" ht="38.25" x14ac:dyDescent="0.25">
      <c r="A16" s="17">
        <v>7507</v>
      </c>
      <c r="B16" s="13" t="s">
        <v>905</v>
      </c>
      <c r="C16" s="10">
        <v>14</v>
      </c>
      <c r="D16" s="12" t="s">
        <v>919</v>
      </c>
    </row>
    <row r="17" spans="1:4" ht="38.25" x14ac:dyDescent="0.25">
      <c r="A17" s="17">
        <v>7507</v>
      </c>
      <c r="B17" s="13" t="s">
        <v>905</v>
      </c>
      <c r="C17" s="10">
        <v>15</v>
      </c>
      <c r="D17" s="12" t="s">
        <v>920</v>
      </c>
    </row>
    <row r="18" spans="1:4" ht="38.25" x14ac:dyDescent="0.25">
      <c r="A18" s="17">
        <v>7507</v>
      </c>
      <c r="B18" s="13" t="s">
        <v>905</v>
      </c>
      <c r="C18" s="10">
        <v>17</v>
      </c>
      <c r="D18" s="14" t="s">
        <v>921</v>
      </c>
    </row>
    <row r="19" spans="1:4" ht="38.25" x14ac:dyDescent="0.25">
      <c r="A19" s="17">
        <v>7507</v>
      </c>
      <c r="B19" s="13" t="s">
        <v>905</v>
      </c>
      <c r="C19" s="10">
        <v>18</v>
      </c>
      <c r="D19" s="12" t="s">
        <v>922</v>
      </c>
    </row>
    <row r="20" spans="1:4" ht="38.25" x14ac:dyDescent="0.25">
      <c r="A20" s="17">
        <v>7507</v>
      </c>
      <c r="B20" s="13" t="s">
        <v>905</v>
      </c>
      <c r="C20" s="10">
        <v>20</v>
      </c>
      <c r="D20" s="12" t="s">
        <v>923</v>
      </c>
    </row>
    <row r="21" spans="1:4" ht="38.25" x14ac:dyDescent="0.25">
      <c r="A21" s="17">
        <v>7507</v>
      </c>
      <c r="B21" s="13" t="s">
        <v>905</v>
      </c>
      <c r="C21" s="10">
        <v>24</v>
      </c>
      <c r="D21" s="12" t="s">
        <v>924</v>
      </c>
    </row>
    <row r="22" spans="1:4" ht="33" x14ac:dyDescent="0.25">
      <c r="A22" s="17">
        <v>7507</v>
      </c>
      <c r="B22" s="13" t="s">
        <v>905</v>
      </c>
      <c r="C22" s="10">
        <v>26</v>
      </c>
      <c r="D22" s="15" t="s">
        <v>925</v>
      </c>
    </row>
    <row r="23" spans="1:4" ht="33" x14ac:dyDescent="0.25">
      <c r="A23" s="17">
        <v>7507</v>
      </c>
      <c r="B23" s="13" t="s">
        <v>905</v>
      </c>
      <c r="C23" s="10">
        <v>27</v>
      </c>
      <c r="D23" s="9" t="s">
        <v>926</v>
      </c>
    </row>
    <row r="24" spans="1:4" ht="89.25" x14ac:dyDescent="0.25">
      <c r="A24" s="17">
        <v>7512</v>
      </c>
      <c r="B24" s="13" t="s">
        <v>927</v>
      </c>
      <c r="C24" s="10">
        <v>6</v>
      </c>
      <c r="D24" s="12" t="s">
        <v>928</v>
      </c>
    </row>
    <row r="25" spans="1:4" ht="51" x14ac:dyDescent="0.25">
      <c r="A25" s="17">
        <v>7512</v>
      </c>
      <c r="B25" s="13" t="s">
        <v>927</v>
      </c>
      <c r="C25" s="10">
        <v>4</v>
      </c>
      <c r="D25" s="12" t="s">
        <v>929</v>
      </c>
    </row>
    <row r="26" spans="1:4" ht="76.5" x14ac:dyDescent="0.25">
      <c r="A26" s="17">
        <v>7512</v>
      </c>
      <c r="B26" s="13" t="s">
        <v>927</v>
      </c>
      <c r="C26" s="10">
        <v>5</v>
      </c>
      <c r="D26" s="12" t="s">
        <v>930</v>
      </c>
    </row>
    <row r="27" spans="1:4" ht="33" x14ac:dyDescent="0.25">
      <c r="A27" s="17">
        <v>7512</v>
      </c>
      <c r="B27" s="13" t="s">
        <v>927</v>
      </c>
      <c r="C27" s="10">
        <v>9</v>
      </c>
      <c r="D27" s="12" t="s">
        <v>931</v>
      </c>
    </row>
    <row r="28" spans="1:4" ht="63.75" x14ac:dyDescent="0.25">
      <c r="A28" s="17">
        <v>7512</v>
      </c>
      <c r="B28" s="13" t="s">
        <v>927</v>
      </c>
      <c r="C28" s="10">
        <v>2</v>
      </c>
      <c r="D28" s="12" t="s">
        <v>932</v>
      </c>
    </row>
    <row r="29" spans="1:4" ht="51" x14ac:dyDescent="0.25">
      <c r="A29" s="17">
        <v>7512</v>
      </c>
      <c r="B29" s="13" t="s">
        <v>927</v>
      </c>
      <c r="C29" s="11">
        <v>7</v>
      </c>
      <c r="D29" s="15" t="s">
        <v>933</v>
      </c>
    </row>
    <row r="30" spans="1:4" ht="33" x14ac:dyDescent="0.25">
      <c r="A30" s="17">
        <v>7510</v>
      </c>
      <c r="B30" s="13" t="s">
        <v>934</v>
      </c>
      <c r="C30" s="10">
        <v>5</v>
      </c>
      <c r="D30" s="14" t="s">
        <v>935</v>
      </c>
    </row>
    <row r="31" spans="1:4" ht="33" x14ac:dyDescent="0.25">
      <c r="A31" s="17">
        <v>7510</v>
      </c>
      <c r="B31" s="13" t="s">
        <v>934</v>
      </c>
      <c r="C31" s="10">
        <v>7</v>
      </c>
      <c r="D31" s="12" t="s">
        <v>936</v>
      </c>
    </row>
    <row r="32" spans="1:4" ht="38.25" x14ac:dyDescent="0.25">
      <c r="A32" s="17">
        <v>7513</v>
      </c>
      <c r="B32" s="13" t="s">
        <v>937</v>
      </c>
      <c r="C32" s="10">
        <v>1</v>
      </c>
      <c r="D32" s="12" t="s">
        <v>938</v>
      </c>
    </row>
    <row r="33" spans="1:4" ht="25.5" x14ac:dyDescent="0.25">
      <c r="A33" s="17">
        <v>7513</v>
      </c>
      <c r="B33" s="13" t="s">
        <v>937</v>
      </c>
      <c r="C33" s="10">
        <v>3</v>
      </c>
      <c r="D33" s="12" t="s">
        <v>939</v>
      </c>
    </row>
    <row r="34" spans="1:4" ht="25.5" x14ac:dyDescent="0.25">
      <c r="A34" s="17">
        <v>7513</v>
      </c>
      <c r="B34" s="13" t="s">
        <v>937</v>
      </c>
      <c r="C34" s="10">
        <v>2</v>
      </c>
      <c r="D34" s="14" t="s">
        <v>940</v>
      </c>
    </row>
    <row r="35" spans="1:4" ht="38.25" x14ac:dyDescent="0.25">
      <c r="A35" s="17">
        <v>7513</v>
      </c>
      <c r="B35" s="13" t="s">
        <v>937</v>
      </c>
      <c r="C35" s="10">
        <v>7</v>
      </c>
      <c r="D35" s="12" t="s">
        <v>941</v>
      </c>
    </row>
    <row r="36" spans="1:4" ht="51" x14ac:dyDescent="0.25">
      <c r="A36" s="17">
        <v>7513</v>
      </c>
      <c r="B36" s="13" t="s">
        <v>937</v>
      </c>
      <c r="C36" s="10">
        <v>10</v>
      </c>
      <c r="D36" s="86" t="s">
        <v>942</v>
      </c>
    </row>
    <row r="37" spans="1:4" ht="38.25" x14ac:dyDescent="0.25">
      <c r="A37" s="17">
        <v>7513</v>
      </c>
      <c r="B37" s="13" t="s">
        <v>937</v>
      </c>
      <c r="C37" s="10">
        <v>5</v>
      </c>
      <c r="D37" s="12" t="s">
        <v>943</v>
      </c>
    </row>
    <row r="38" spans="1:4" ht="49.5" x14ac:dyDescent="0.25">
      <c r="A38" s="17">
        <v>7532</v>
      </c>
      <c r="B38" s="13" t="s">
        <v>944</v>
      </c>
      <c r="C38" s="10">
        <v>1</v>
      </c>
      <c r="D38" s="12" t="s">
        <v>945</v>
      </c>
    </row>
    <row r="39" spans="1:4" ht="49.5" x14ac:dyDescent="0.25">
      <c r="A39" s="17">
        <v>7532</v>
      </c>
      <c r="B39" s="13" t="s">
        <v>944</v>
      </c>
      <c r="C39" s="10">
        <v>2</v>
      </c>
      <c r="D39" s="12" t="s">
        <v>946</v>
      </c>
    </row>
    <row r="40" spans="1:4" ht="49.5" x14ac:dyDescent="0.25">
      <c r="A40" s="17">
        <v>7532</v>
      </c>
      <c r="B40" s="13" t="s">
        <v>944</v>
      </c>
      <c r="C40" s="10">
        <v>3</v>
      </c>
      <c r="D40" s="12" t="s">
        <v>947</v>
      </c>
    </row>
    <row r="41" spans="1:4" ht="38.25" x14ac:dyDescent="0.25">
      <c r="A41" s="17">
        <v>7511</v>
      </c>
      <c r="B41" s="13" t="s">
        <v>948</v>
      </c>
      <c r="C41" s="10">
        <v>1</v>
      </c>
      <c r="D41" s="14" t="s">
        <v>949</v>
      </c>
    </row>
    <row r="42" spans="1:4" ht="33" x14ac:dyDescent="0.25">
      <c r="A42" s="17">
        <v>7511</v>
      </c>
      <c r="B42" s="13" t="s">
        <v>948</v>
      </c>
      <c r="C42" s="10">
        <v>2</v>
      </c>
      <c r="D42" s="14" t="s">
        <v>950</v>
      </c>
    </row>
    <row r="43" spans="1:4" ht="33" x14ac:dyDescent="0.25">
      <c r="A43" s="17">
        <v>7511</v>
      </c>
      <c r="B43" s="13" t="s">
        <v>948</v>
      </c>
      <c r="C43" s="10">
        <v>6</v>
      </c>
      <c r="D43" s="14" t="s">
        <v>951</v>
      </c>
    </row>
    <row r="44" spans="1:4" ht="51" x14ac:dyDescent="0.25">
      <c r="A44" s="17">
        <v>7515</v>
      </c>
      <c r="B44" s="13" t="s">
        <v>952</v>
      </c>
      <c r="C44" s="10">
        <v>11</v>
      </c>
      <c r="D44" s="14" t="s">
        <v>953</v>
      </c>
    </row>
    <row r="45" spans="1:4" ht="38.25" x14ac:dyDescent="0.25">
      <c r="A45" s="17">
        <v>7515</v>
      </c>
      <c r="B45" s="13" t="s">
        <v>952</v>
      </c>
      <c r="C45" s="10">
        <v>12</v>
      </c>
      <c r="D45" s="14" t="s">
        <v>954</v>
      </c>
    </row>
    <row r="46" spans="1:4" ht="51" x14ac:dyDescent="0.25">
      <c r="A46" s="17">
        <v>7514</v>
      </c>
      <c r="B46" s="13" t="s">
        <v>955</v>
      </c>
      <c r="C46" s="10">
        <v>1</v>
      </c>
      <c r="D46" s="14" t="s">
        <v>956</v>
      </c>
    </row>
    <row r="47" spans="1:4" ht="49.5" x14ac:dyDescent="0.25">
      <c r="A47" s="17">
        <v>7514</v>
      </c>
      <c r="B47" s="13" t="s">
        <v>955</v>
      </c>
      <c r="C47" s="10">
        <v>3</v>
      </c>
      <c r="D47" s="14" t="s">
        <v>951</v>
      </c>
    </row>
    <row r="48" spans="1:4" ht="49.5" x14ac:dyDescent="0.25">
      <c r="A48" s="17">
        <v>7514</v>
      </c>
      <c r="B48" s="13" t="s">
        <v>955</v>
      </c>
      <c r="C48" s="10">
        <v>4</v>
      </c>
      <c r="D48" s="14" t="s">
        <v>957</v>
      </c>
    </row>
  </sheetData>
  <mergeCells count="2">
    <mergeCell ref="C1:D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4"/>
  <sheetViews>
    <sheetView workbookViewId="0">
      <pane xSplit="2" ySplit="2" topLeftCell="C12" activePane="bottomRight" state="frozen"/>
      <selection pane="topRight" activeCell="C1" sqref="C1"/>
      <selection pane="bottomLeft" activeCell="A3" sqref="A3"/>
      <selection pane="bottomRight" activeCell="B24" sqref="B24"/>
    </sheetView>
  </sheetViews>
  <sheetFormatPr baseColWidth="10" defaultColWidth="11.42578125" defaultRowHeight="15" x14ac:dyDescent="0.25"/>
  <cols>
    <col min="1" max="1" width="11.42578125" style="24"/>
    <col min="2" max="2" width="60.140625" style="24" customWidth="1"/>
    <col min="3" max="3" width="13" style="24" customWidth="1"/>
    <col min="4" max="9" width="18" style="24" customWidth="1"/>
    <col min="10" max="10" width="22.28515625" style="24" customWidth="1"/>
    <col min="11" max="11" width="17.140625" style="24" customWidth="1"/>
    <col min="12" max="16384" width="11.42578125" style="24"/>
  </cols>
  <sheetData>
    <row r="1" spans="1:11" x14ac:dyDescent="0.25">
      <c r="A1" s="355" t="s">
        <v>958</v>
      </c>
      <c r="B1" s="355" t="s">
        <v>959</v>
      </c>
      <c r="C1" s="355" t="s">
        <v>960</v>
      </c>
      <c r="D1" s="355" t="s">
        <v>961</v>
      </c>
      <c r="E1" s="355" t="s">
        <v>962</v>
      </c>
      <c r="F1" s="355" t="s">
        <v>963</v>
      </c>
      <c r="G1" s="355" t="s">
        <v>964</v>
      </c>
      <c r="H1" s="87"/>
      <c r="I1" s="87" t="s">
        <v>965</v>
      </c>
      <c r="J1" s="87"/>
      <c r="K1" s="355" t="s">
        <v>966</v>
      </c>
    </row>
    <row r="2" spans="1:11" ht="15" customHeight="1" x14ac:dyDescent="0.25">
      <c r="A2" s="355"/>
      <c r="B2" s="355"/>
      <c r="C2" s="355"/>
      <c r="D2" s="355"/>
      <c r="E2" s="355"/>
      <c r="F2" s="355"/>
      <c r="G2" s="355"/>
      <c r="H2" s="87" t="s">
        <v>12</v>
      </c>
      <c r="I2" s="87" t="s">
        <v>967</v>
      </c>
      <c r="J2" s="87" t="s">
        <v>968</v>
      </c>
      <c r="K2" s="355"/>
    </row>
    <row r="3" spans="1:11" x14ac:dyDescent="0.25">
      <c r="A3" s="25">
        <v>1</v>
      </c>
      <c r="B3" s="26" t="s">
        <v>969</v>
      </c>
      <c r="C3" s="27">
        <v>17.399999999999999</v>
      </c>
      <c r="D3" s="27">
        <v>13.1</v>
      </c>
      <c r="E3" s="27">
        <v>12</v>
      </c>
      <c r="F3" s="28" t="s">
        <v>970</v>
      </c>
      <c r="G3" s="25"/>
      <c r="H3" s="25"/>
      <c r="I3" s="25"/>
      <c r="J3" s="25"/>
      <c r="K3" s="25"/>
    </row>
    <row r="4" spans="1:11" x14ac:dyDescent="0.25">
      <c r="A4" s="25">
        <v>2</v>
      </c>
      <c r="B4" s="26" t="s">
        <v>971</v>
      </c>
      <c r="C4" s="27">
        <v>169.2</v>
      </c>
      <c r="D4" s="27">
        <v>266</v>
      </c>
      <c r="E4" s="27">
        <v>143.80000000000001</v>
      </c>
      <c r="F4" s="28" t="s">
        <v>970</v>
      </c>
      <c r="G4" s="25"/>
      <c r="H4" s="25"/>
      <c r="I4" s="25"/>
      <c r="J4" s="25"/>
      <c r="K4" s="25"/>
    </row>
    <row r="5" spans="1:11" x14ac:dyDescent="0.25">
      <c r="A5" s="25">
        <v>3</v>
      </c>
      <c r="B5" s="26" t="s">
        <v>972</v>
      </c>
      <c r="C5" s="27">
        <v>1573.9</v>
      </c>
      <c r="D5" s="27">
        <v>3919.9</v>
      </c>
      <c r="E5" s="27">
        <v>1307.44</v>
      </c>
      <c r="F5" s="28" t="s">
        <v>970</v>
      </c>
      <c r="G5" s="25"/>
      <c r="H5" s="25"/>
      <c r="I5" s="25"/>
      <c r="J5" s="25"/>
      <c r="K5" s="25"/>
    </row>
    <row r="6" spans="1:11" ht="30" x14ac:dyDescent="0.25">
      <c r="A6" s="25">
        <v>4</v>
      </c>
      <c r="B6" s="26" t="s">
        <v>973</v>
      </c>
      <c r="C6" s="27">
        <v>18</v>
      </c>
      <c r="D6" s="27">
        <v>124</v>
      </c>
      <c r="E6" s="27">
        <v>35</v>
      </c>
      <c r="F6" s="28" t="s">
        <v>970</v>
      </c>
      <c r="G6" s="25"/>
      <c r="H6" s="25"/>
      <c r="I6" s="25"/>
      <c r="J6" s="25"/>
      <c r="K6" s="25"/>
    </row>
    <row r="7" spans="1:11" ht="30" x14ac:dyDescent="0.25">
      <c r="A7" s="25">
        <v>5</v>
      </c>
      <c r="B7" s="26" t="s">
        <v>974</v>
      </c>
      <c r="C7" s="27">
        <v>379611</v>
      </c>
      <c r="D7" s="27">
        <v>1323310</v>
      </c>
      <c r="E7" s="27">
        <v>455533</v>
      </c>
      <c r="F7" s="28" t="s">
        <v>970</v>
      </c>
      <c r="G7" s="25"/>
      <c r="H7" s="25"/>
      <c r="I7" s="25"/>
      <c r="J7" s="25"/>
      <c r="K7" s="25"/>
    </row>
    <row r="8" spans="1:11" ht="30" x14ac:dyDescent="0.25">
      <c r="A8" s="25">
        <v>6</v>
      </c>
      <c r="B8" s="26" t="s">
        <v>975</v>
      </c>
      <c r="C8" s="27">
        <v>1960697</v>
      </c>
      <c r="D8" s="27">
        <v>7033498</v>
      </c>
      <c r="E8" s="27">
        <v>9600000</v>
      </c>
      <c r="F8" s="28" t="s">
        <v>970</v>
      </c>
      <c r="G8" s="25"/>
      <c r="H8" s="25"/>
      <c r="I8" s="25"/>
      <c r="J8" s="25"/>
      <c r="K8" s="25"/>
    </row>
    <row r="9" spans="1:11" ht="30" x14ac:dyDescent="0.25">
      <c r="A9" s="25">
        <v>1</v>
      </c>
      <c r="B9" s="26" t="s">
        <v>976</v>
      </c>
      <c r="C9" s="27">
        <v>0</v>
      </c>
      <c r="D9" s="27">
        <v>18</v>
      </c>
      <c r="E9" s="27">
        <v>20</v>
      </c>
      <c r="F9" s="28" t="s">
        <v>977</v>
      </c>
      <c r="G9" s="25"/>
      <c r="H9" s="25"/>
      <c r="I9" s="25"/>
      <c r="J9" s="25"/>
      <c r="K9" s="25"/>
    </row>
    <row r="10" spans="1:11" ht="30" x14ac:dyDescent="0.25">
      <c r="A10" s="25">
        <v>4</v>
      </c>
      <c r="B10" s="26" t="s">
        <v>978</v>
      </c>
      <c r="C10" s="27">
        <v>0</v>
      </c>
      <c r="D10" s="27">
        <v>39</v>
      </c>
      <c r="E10" s="27">
        <v>5</v>
      </c>
      <c r="F10" s="28" t="s">
        <v>977</v>
      </c>
      <c r="G10" s="25"/>
      <c r="H10" s="25"/>
      <c r="I10" s="25"/>
      <c r="J10" s="25"/>
      <c r="K10" s="25"/>
    </row>
    <row r="11" spans="1:11" x14ac:dyDescent="0.25">
      <c r="A11" s="25">
        <v>5</v>
      </c>
      <c r="B11" s="26" t="s">
        <v>979</v>
      </c>
      <c r="C11" s="27">
        <v>365352</v>
      </c>
      <c r="D11" s="27">
        <v>945436</v>
      </c>
      <c r="E11" s="27">
        <v>438422</v>
      </c>
      <c r="F11" s="28" t="s">
        <v>977</v>
      </c>
      <c r="G11" s="25"/>
      <c r="H11" s="25"/>
      <c r="I11" s="25"/>
      <c r="J11" s="25"/>
      <c r="K11" s="25"/>
    </row>
    <row r="12" spans="1:11" ht="30" x14ac:dyDescent="0.25">
      <c r="A12" s="25">
        <v>6</v>
      </c>
      <c r="B12" s="26" t="s">
        <v>980</v>
      </c>
      <c r="C12" s="27">
        <v>14259</v>
      </c>
      <c r="D12" s="27">
        <v>69386</v>
      </c>
      <c r="E12" s="27">
        <v>17111</v>
      </c>
      <c r="F12" s="28" t="s">
        <v>977</v>
      </c>
      <c r="G12" s="25"/>
      <c r="H12" s="25"/>
      <c r="I12" s="25"/>
      <c r="J12" s="25"/>
      <c r="K12" s="25"/>
    </row>
    <row r="13" spans="1:11" ht="30" x14ac:dyDescent="0.25">
      <c r="A13" s="25">
        <v>8</v>
      </c>
      <c r="B13" s="26" t="s">
        <v>981</v>
      </c>
      <c r="C13" s="27">
        <v>0</v>
      </c>
      <c r="D13" s="27">
        <v>604</v>
      </c>
      <c r="E13" s="27">
        <v>400</v>
      </c>
      <c r="F13" s="28" t="s">
        <v>977</v>
      </c>
      <c r="G13" s="25"/>
      <c r="H13" s="25"/>
      <c r="I13" s="25"/>
      <c r="J13" s="25"/>
      <c r="K13" s="25"/>
    </row>
    <row r="14" spans="1:11" ht="30" x14ac:dyDescent="0.25">
      <c r="A14" s="25">
        <v>10</v>
      </c>
      <c r="B14" s="26" t="s">
        <v>982</v>
      </c>
      <c r="C14" s="27">
        <v>750</v>
      </c>
      <c r="D14" s="27">
        <v>1727</v>
      </c>
      <c r="E14" s="27">
        <v>863</v>
      </c>
      <c r="F14" s="28" t="s">
        <v>977</v>
      </c>
      <c r="G14" s="25"/>
      <c r="H14" s="25"/>
      <c r="I14" s="25"/>
      <c r="J14" s="25"/>
      <c r="K14" s="25"/>
    </row>
    <row r="15" spans="1:11" ht="30" x14ac:dyDescent="0.25">
      <c r="A15" s="25">
        <v>13</v>
      </c>
      <c r="B15" s="26" t="s">
        <v>983</v>
      </c>
      <c r="C15" s="27">
        <v>0</v>
      </c>
      <c r="D15" s="27">
        <v>317</v>
      </c>
      <c r="E15" s="27">
        <v>70</v>
      </c>
      <c r="F15" s="28" t="s">
        <v>977</v>
      </c>
      <c r="G15" s="25"/>
      <c r="H15" s="25"/>
      <c r="I15" s="25"/>
      <c r="J15" s="25"/>
      <c r="K15" s="25"/>
    </row>
    <row r="16" spans="1:11" ht="30" x14ac:dyDescent="0.25">
      <c r="A16" s="25">
        <v>14</v>
      </c>
      <c r="B16" s="26" t="s">
        <v>984</v>
      </c>
      <c r="C16" s="27">
        <v>66.739999999999995</v>
      </c>
      <c r="D16" s="27">
        <v>278</v>
      </c>
      <c r="E16" s="27">
        <v>60</v>
      </c>
      <c r="F16" s="28" t="s">
        <v>977</v>
      </c>
      <c r="G16" s="25"/>
      <c r="H16" s="25"/>
      <c r="I16" s="25"/>
      <c r="J16" s="25"/>
      <c r="K16" s="25"/>
    </row>
    <row r="17" spans="1:11" ht="30" x14ac:dyDescent="0.25">
      <c r="A17" s="25">
        <v>15</v>
      </c>
      <c r="B17" s="26" t="s">
        <v>985</v>
      </c>
      <c r="C17" s="27">
        <v>2712</v>
      </c>
      <c r="D17" s="27">
        <v>2973</v>
      </c>
      <c r="E17" s="27">
        <v>3000</v>
      </c>
      <c r="F17" s="28" t="s">
        <v>977</v>
      </c>
      <c r="G17" s="25"/>
      <c r="H17" s="25"/>
      <c r="I17" s="25"/>
      <c r="J17" s="25"/>
      <c r="K17" s="25"/>
    </row>
    <row r="18" spans="1:11" ht="30" x14ac:dyDescent="0.25">
      <c r="A18" s="25">
        <v>16</v>
      </c>
      <c r="B18" s="26" t="s">
        <v>986</v>
      </c>
      <c r="C18" s="27">
        <v>577</v>
      </c>
      <c r="D18" s="27">
        <v>7489</v>
      </c>
      <c r="E18" s="27">
        <v>4000</v>
      </c>
      <c r="F18" s="28" t="s">
        <v>977</v>
      </c>
      <c r="G18" s="25"/>
      <c r="H18" s="25"/>
      <c r="I18" s="25"/>
      <c r="J18" s="25"/>
      <c r="K18" s="25"/>
    </row>
    <row r="19" spans="1:11" ht="30" x14ac:dyDescent="0.25">
      <c r="A19" s="25">
        <v>17</v>
      </c>
      <c r="B19" s="26" t="s">
        <v>987</v>
      </c>
      <c r="C19" s="27">
        <v>179</v>
      </c>
      <c r="D19" s="27">
        <v>11</v>
      </c>
      <c r="E19" s="27">
        <v>21</v>
      </c>
      <c r="F19" s="28" t="s">
        <v>977</v>
      </c>
      <c r="G19" s="25"/>
      <c r="H19" s="25"/>
      <c r="I19" s="25"/>
      <c r="J19" s="25"/>
      <c r="K19" s="25"/>
    </row>
    <row r="20" spans="1:11" ht="30" x14ac:dyDescent="0.25">
      <c r="A20" s="25">
        <v>18</v>
      </c>
      <c r="B20" s="26" t="s">
        <v>988</v>
      </c>
      <c r="C20" s="28">
        <v>14</v>
      </c>
      <c r="D20" s="28">
        <v>6</v>
      </c>
      <c r="E20" s="28">
        <v>13</v>
      </c>
      <c r="F20" s="28" t="s">
        <v>977</v>
      </c>
      <c r="G20" s="25"/>
      <c r="H20" s="25"/>
      <c r="I20" s="25"/>
      <c r="J20" s="25"/>
      <c r="K20" s="25"/>
    </row>
    <row r="21" spans="1:11" ht="30" x14ac:dyDescent="0.25">
      <c r="A21" s="25">
        <v>22</v>
      </c>
      <c r="B21" s="26" t="s">
        <v>989</v>
      </c>
      <c r="C21" s="28">
        <v>0</v>
      </c>
      <c r="D21" s="28">
        <v>424</v>
      </c>
      <c r="E21" s="28">
        <v>50</v>
      </c>
      <c r="F21" s="28" t="s">
        <v>977</v>
      </c>
      <c r="G21" s="25"/>
      <c r="H21" s="25"/>
      <c r="I21" s="25"/>
      <c r="J21" s="25"/>
      <c r="K21" s="25"/>
    </row>
    <row r="22" spans="1:11" ht="45" x14ac:dyDescent="0.25">
      <c r="A22" s="25">
        <v>19</v>
      </c>
      <c r="B22" s="26" t="s">
        <v>990</v>
      </c>
      <c r="C22" s="28">
        <v>0</v>
      </c>
      <c r="D22" s="28">
        <v>145</v>
      </c>
      <c r="E22" s="28">
        <v>100</v>
      </c>
      <c r="F22" s="28" t="s">
        <v>977</v>
      </c>
      <c r="G22" s="25"/>
      <c r="H22" s="25"/>
      <c r="I22" s="25"/>
      <c r="J22" s="25"/>
      <c r="K22" s="25"/>
    </row>
    <row r="23" spans="1:11" ht="30" x14ac:dyDescent="0.25">
      <c r="A23" s="25">
        <v>20</v>
      </c>
      <c r="B23" s="26" t="s">
        <v>991</v>
      </c>
      <c r="C23" s="28">
        <v>0</v>
      </c>
      <c r="D23" s="28">
        <v>140</v>
      </c>
      <c r="E23" s="28">
        <v>100</v>
      </c>
      <c r="F23" s="28" t="s">
        <v>977</v>
      </c>
      <c r="G23" s="25"/>
      <c r="H23" s="25"/>
      <c r="I23" s="25"/>
      <c r="J23" s="25"/>
      <c r="K23" s="25"/>
    </row>
    <row r="24" spans="1:11" ht="30" x14ac:dyDescent="0.25">
      <c r="A24" s="25">
        <v>21</v>
      </c>
      <c r="B24" s="26" t="s">
        <v>992</v>
      </c>
      <c r="C24" s="28">
        <v>0</v>
      </c>
      <c r="D24" s="28">
        <v>110</v>
      </c>
      <c r="E24" s="28">
        <v>100</v>
      </c>
      <c r="F24" s="28" t="s">
        <v>977</v>
      </c>
      <c r="G24" s="25"/>
      <c r="H24" s="25"/>
      <c r="I24" s="25"/>
      <c r="J24" s="25"/>
      <c r="K24" s="25"/>
    </row>
  </sheetData>
  <mergeCells count="8">
    <mergeCell ref="G1:G2"/>
    <mergeCell ref="K1:K2"/>
    <mergeCell ref="F1:F2"/>
    <mergeCell ref="C1:C2"/>
    <mergeCell ref="A1:A2"/>
    <mergeCell ref="B1:B2"/>
    <mergeCell ref="D1:D2"/>
    <mergeCell ref="E1:E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0"/>
  <sheetViews>
    <sheetView workbookViewId="0">
      <selection activeCell="C43" sqref="C43"/>
    </sheetView>
  </sheetViews>
  <sheetFormatPr baseColWidth="10" defaultColWidth="11.42578125" defaultRowHeight="12.75" x14ac:dyDescent="0.2"/>
  <cols>
    <col min="1" max="1" width="14" style="37" customWidth="1"/>
    <col min="2" max="2" width="14" style="38" customWidth="1"/>
    <col min="3" max="5" width="14" style="37" customWidth="1"/>
    <col min="6" max="6" width="12.42578125" style="37" customWidth="1"/>
    <col min="7" max="256" width="11.42578125" style="37"/>
    <col min="257" max="261" width="14" style="37" customWidth="1"/>
    <col min="262" max="262" width="12.42578125" style="37" customWidth="1"/>
    <col min="263" max="512" width="11.42578125" style="37"/>
    <col min="513" max="517" width="14" style="37" customWidth="1"/>
    <col min="518" max="518" width="12.42578125" style="37" customWidth="1"/>
    <col min="519" max="768" width="11.42578125" style="37"/>
    <col min="769" max="773" width="14" style="37" customWidth="1"/>
    <col min="774" max="774" width="12.42578125" style="37" customWidth="1"/>
    <col min="775" max="1024" width="11.42578125" style="37"/>
    <col min="1025" max="1029" width="14" style="37" customWidth="1"/>
    <col min="1030" max="1030" width="12.42578125" style="37" customWidth="1"/>
    <col min="1031" max="1280" width="11.42578125" style="37"/>
    <col min="1281" max="1285" width="14" style="37" customWidth="1"/>
    <col min="1286" max="1286" width="12.42578125" style="37" customWidth="1"/>
    <col min="1287" max="1536" width="11.42578125" style="37"/>
    <col min="1537" max="1541" width="14" style="37" customWidth="1"/>
    <col min="1542" max="1542" width="12.42578125" style="37" customWidth="1"/>
    <col min="1543" max="1792" width="11.42578125" style="37"/>
    <col min="1793" max="1797" width="14" style="37" customWidth="1"/>
    <col min="1798" max="1798" width="12.42578125" style="37" customWidth="1"/>
    <col min="1799" max="2048" width="11.42578125" style="37"/>
    <col min="2049" max="2053" width="14" style="37" customWidth="1"/>
    <col min="2054" max="2054" width="12.42578125" style="37" customWidth="1"/>
    <col min="2055" max="2304" width="11.42578125" style="37"/>
    <col min="2305" max="2309" width="14" style="37" customWidth="1"/>
    <col min="2310" max="2310" width="12.42578125" style="37" customWidth="1"/>
    <col min="2311" max="2560" width="11.42578125" style="37"/>
    <col min="2561" max="2565" width="14" style="37" customWidth="1"/>
    <col min="2566" max="2566" width="12.42578125" style="37" customWidth="1"/>
    <col min="2567" max="2816" width="11.42578125" style="37"/>
    <col min="2817" max="2821" width="14" style="37" customWidth="1"/>
    <col min="2822" max="2822" width="12.42578125" style="37" customWidth="1"/>
    <col min="2823" max="3072" width="11.42578125" style="37"/>
    <col min="3073" max="3077" width="14" style="37" customWidth="1"/>
    <col min="3078" max="3078" width="12.42578125" style="37" customWidth="1"/>
    <col min="3079" max="3328" width="11.42578125" style="37"/>
    <col min="3329" max="3333" width="14" style="37" customWidth="1"/>
    <col min="3334" max="3334" width="12.42578125" style="37" customWidth="1"/>
    <col min="3335" max="3584" width="11.42578125" style="37"/>
    <col min="3585" max="3589" width="14" style="37" customWidth="1"/>
    <col min="3590" max="3590" width="12.42578125" style="37" customWidth="1"/>
    <col min="3591" max="3840" width="11.42578125" style="37"/>
    <col min="3841" max="3845" width="14" style="37" customWidth="1"/>
    <col min="3846" max="3846" width="12.42578125" style="37" customWidth="1"/>
    <col min="3847" max="4096" width="11.42578125" style="37"/>
    <col min="4097" max="4101" width="14" style="37" customWidth="1"/>
    <col min="4102" max="4102" width="12.42578125" style="37" customWidth="1"/>
    <col min="4103" max="4352" width="11.42578125" style="37"/>
    <col min="4353" max="4357" width="14" style="37" customWidth="1"/>
    <col min="4358" max="4358" width="12.42578125" style="37" customWidth="1"/>
    <col min="4359" max="4608" width="11.42578125" style="37"/>
    <col min="4609" max="4613" width="14" style="37" customWidth="1"/>
    <col min="4614" max="4614" width="12.42578125" style="37" customWidth="1"/>
    <col min="4615" max="4864" width="11.42578125" style="37"/>
    <col min="4865" max="4869" width="14" style="37" customWidth="1"/>
    <col min="4870" max="4870" width="12.42578125" style="37" customWidth="1"/>
    <col min="4871" max="5120" width="11.42578125" style="37"/>
    <col min="5121" max="5125" width="14" style="37" customWidth="1"/>
    <col min="5126" max="5126" width="12.42578125" style="37" customWidth="1"/>
    <col min="5127" max="5376" width="11.42578125" style="37"/>
    <col min="5377" max="5381" width="14" style="37" customWidth="1"/>
    <col min="5382" max="5382" width="12.42578125" style="37" customWidth="1"/>
    <col min="5383" max="5632" width="11.42578125" style="37"/>
    <col min="5633" max="5637" width="14" style="37" customWidth="1"/>
    <col min="5638" max="5638" width="12.42578125" style="37" customWidth="1"/>
    <col min="5639" max="5888" width="11.42578125" style="37"/>
    <col min="5889" max="5893" width="14" style="37" customWidth="1"/>
    <col min="5894" max="5894" width="12.42578125" style="37" customWidth="1"/>
    <col min="5895" max="6144" width="11.42578125" style="37"/>
    <col min="6145" max="6149" width="14" style="37" customWidth="1"/>
    <col min="6150" max="6150" width="12.42578125" style="37" customWidth="1"/>
    <col min="6151" max="6400" width="11.42578125" style="37"/>
    <col min="6401" max="6405" width="14" style="37" customWidth="1"/>
    <col min="6406" max="6406" width="12.42578125" style="37" customWidth="1"/>
    <col min="6407" max="6656" width="11.42578125" style="37"/>
    <col min="6657" max="6661" width="14" style="37" customWidth="1"/>
    <col min="6662" max="6662" width="12.42578125" style="37" customWidth="1"/>
    <col min="6663" max="6912" width="11.42578125" style="37"/>
    <col min="6913" max="6917" width="14" style="37" customWidth="1"/>
    <col min="6918" max="6918" width="12.42578125" style="37" customWidth="1"/>
    <col min="6919" max="7168" width="11.42578125" style="37"/>
    <col min="7169" max="7173" width="14" style="37" customWidth="1"/>
    <col min="7174" max="7174" width="12.42578125" style="37" customWidth="1"/>
    <col min="7175" max="7424" width="11.42578125" style="37"/>
    <col min="7425" max="7429" width="14" style="37" customWidth="1"/>
    <col min="7430" max="7430" width="12.42578125" style="37" customWidth="1"/>
    <col min="7431" max="7680" width="11.42578125" style="37"/>
    <col min="7681" max="7685" width="14" style="37" customWidth="1"/>
    <col min="7686" max="7686" width="12.42578125" style="37" customWidth="1"/>
    <col min="7687" max="7936" width="11.42578125" style="37"/>
    <col min="7937" max="7941" width="14" style="37" customWidth="1"/>
    <col min="7942" max="7942" width="12.42578125" style="37" customWidth="1"/>
    <col min="7943" max="8192" width="11.42578125" style="37"/>
    <col min="8193" max="8197" width="14" style="37" customWidth="1"/>
    <col min="8198" max="8198" width="12.42578125" style="37" customWidth="1"/>
    <col min="8199" max="8448" width="11.42578125" style="37"/>
    <col min="8449" max="8453" width="14" style="37" customWidth="1"/>
    <col min="8454" max="8454" width="12.42578125" style="37" customWidth="1"/>
    <col min="8455" max="8704" width="11.42578125" style="37"/>
    <col min="8705" max="8709" width="14" style="37" customWidth="1"/>
    <col min="8710" max="8710" width="12.42578125" style="37" customWidth="1"/>
    <col min="8711" max="8960" width="11.42578125" style="37"/>
    <col min="8961" max="8965" width="14" style="37" customWidth="1"/>
    <col min="8966" max="8966" width="12.42578125" style="37" customWidth="1"/>
    <col min="8967" max="9216" width="11.42578125" style="37"/>
    <col min="9217" max="9221" width="14" style="37" customWidth="1"/>
    <col min="9222" max="9222" width="12.42578125" style="37" customWidth="1"/>
    <col min="9223" max="9472" width="11.42578125" style="37"/>
    <col min="9473" max="9477" width="14" style="37" customWidth="1"/>
    <col min="9478" max="9478" width="12.42578125" style="37" customWidth="1"/>
    <col min="9479" max="9728" width="11.42578125" style="37"/>
    <col min="9729" max="9733" width="14" style="37" customWidth="1"/>
    <col min="9734" max="9734" width="12.42578125" style="37" customWidth="1"/>
    <col min="9735" max="9984" width="11.42578125" style="37"/>
    <col min="9985" max="9989" width="14" style="37" customWidth="1"/>
    <col min="9990" max="9990" width="12.42578125" style="37" customWidth="1"/>
    <col min="9991" max="10240" width="11.42578125" style="37"/>
    <col min="10241" max="10245" width="14" style="37" customWidth="1"/>
    <col min="10246" max="10246" width="12.42578125" style="37" customWidth="1"/>
    <col min="10247" max="10496" width="11.42578125" style="37"/>
    <col min="10497" max="10501" width="14" style="37" customWidth="1"/>
    <col min="10502" max="10502" width="12.42578125" style="37" customWidth="1"/>
    <col min="10503" max="10752" width="11.42578125" style="37"/>
    <col min="10753" max="10757" width="14" style="37" customWidth="1"/>
    <col min="10758" max="10758" width="12.42578125" style="37" customWidth="1"/>
    <col min="10759" max="11008" width="11.42578125" style="37"/>
    <col min="11009" max="11013" width="14" style="37" customWidth="1"/>
    <col min="11014" max="11014" width="12.42578125" style="37" customWidth="1"/>
    <col min="11015" max="11264" width="11.42578125" style="37"/>
    <col min="11265" max="11269" width="14" style="37" customWidth="1"/>
    <col min="11270" max="11270" width="12.42578125" style="37" customWidth="1"/>
    <col min="11271" max="11520" width="11.42578125" style="37"/>
    <col min="11521" max="11525" width="14" style="37" customWidth="1"/>
    <col min="11526" max="11526" width="12.42578125" style="37" customWidth="1"/>
    <col min="11527" max="11776" width="11.42578125" style="37"/>
    <col min="11777" max="11781" width="14" style="37" customWidth="1"/>
    <col min="11782" max="11782" width="12.42578125" style="37" customWidth="1"/>
    <col min="11783" max="12032" width="11.42578125" style="37"/>
    <col min="12033" max="12037" width="14" style="37" customWidth="1"/>
    <col min="12038" max="12038" width="12.42578125" style="37" customWidth="1"/>
    <col min="12039" max="12288" width="11.42578125" style="37"/>
    <col min="12289" max="12293" width="14" style="37" customWidth="1"/>
    <col min="12294" max="12294" width="12.42578125" style="37" customWidth="1"/>
    <col min="12295" max="12544" width="11.42578125" style="37"/>
    <col min="12545" max="12549" width="14" style="37" customWidth="1"/>
    <col min="12550" max="12550" width="12.42578125" style="37" customWidth="1"/>
    <col min="12551" max="12800" width="11.42578125" style="37"/>
    <col min="12801" max="12805" width="14" style="37" customWidth="1"/>
    <col min="12806" max="12806" width="12.42578125" style="37" customWidth="1"/>
    <col min="12807" max="13056" width="11.42578125" style="37"/>
    <col min="13057" max="13061" width="14" style="37" customWidth="1"/>
    <col min="13062" max="13062" width="12.42578125" style="37" customWidth="1"/>
    <col min="13063" max="13312" width="11.42578125" style="37"/>
    <col min="13313" max="13317" width="14" style="37" customWidth="1"/>
    <col min="13318" max="13318" width="12.42578125" style="37" customWidth="1"/>
    <col min="13319" max="13568" width="11.42578125" style="37"/>
    <col min="13569" max="13573" width="14" style="37" customWidth="1"/>
    <col min="13574" max="13574" width="12.42578125" style="37" customWidth="1"/>
    <col min="13575" max="13824" width="11.42578125" style="37"/>
    <col min="13825" max="13829" width="14" style="37" customWidth="1"/>
    <col min="13830" max="13830" width="12.42578125" style="37" customWidth="1"/>
    <col min="13831" max="14080" width="11.42578125" style="37"/>
    <col min="14081" max="14085" width="14" style="37" customWidth="1"/>
    <col min="14086" max="14086" width="12.42578125" style="37" customWidth="1"/>
    <col min="14087" max="14336" width="11.42578125" style="37"/>
    <col min="14337" max="14341" width="14" style="37" customWidth="1"/>
    <col min="14342" max="14342" width="12.42578125" style="37" customWidth="1"/>
    <col min="14343" max="14592" width="11.42578125" style="37"/>
    <col min="14593" max="14597" width="14" style="37" customWidth="1"/>
    <col min="14598" max="14598" width="12.42578125" style="37" customWidth="1"/>
    <col min="14599" max="14848" width="11.42578125" style="37"/>
    <col min="14849" max="14853" width="14" style="37" customWidth="1"/>
    <col min="14854" max="14854" width="12.42578125" style="37" customWidth="1"/>
    <col min="14855" max="15104" width="11.42578125" style="37"/>
    <col min="15105" max="15109" width="14" style="37" customWidth="1"/>
    <col min="15110" max="15110" width="12.42578125" style="37" customWidth="1"/>
    <col min="15111" max="15360" width="11.42578125" style="37"/>
    <col min="15361" max="15365" width="14" style="37" customWidth="1"/>
    <col min="15366" max="15366" width="12.42578125" style="37" customWidth="1"/>
    <col min="15367" max="15616" width="11.42578125" style="37"/>
    <col min="15617" max="15621" width="14" style="37" customWidth="1"/>
    <col min="15622" max="15622" width="12.42578125" style="37" customWidth="1"/>
    <col min="15623" max="15872" width="11.42578125" style="37"/>
    <col min="15873" max="15877" width="14" style="37" customWidth="1"/>
    <col min="15878" max="15878" width="12.42578125" style="37" customWidth="1"/>
    <col min="15879" max="16128" width="11.42578125" style="37"/>
    <col min="16129" max="16133" width="14" style="37" customWidth="1"/>
    <col min="16134" max="16134" width="12.42578125" style="37" customWidth="1"/>
    <col min="16135" max="16384" width="11.42578125" style="37"/>
  </cols>
  <sheetData>
    <row r="1" spans="1:6" ht="14.25" customHeight="1" x14ac:dyDescent="0.2">
      <c r="A1" s="35" t="s">
        <v>993</v>
      </c>
      <c r="B1" s="36" t="s">
        <v>7</v>
      </c>
      <c r="C1" s="35" t="s">
        <v>994</v>
      </c>
      <c r="D1" s="35" t="s">
        <v>995</v>
      </c>
      <c r="E1" s="35" t="s">
        <v>996</v>
      </c>
      <c r="F1" s="35" t="s">
        <v>997</v>
      </c>
    </row>
    <row r="2" spans="1:6" ht="14.25" customHeight="1" x14ac:dyDescent="0.2">
      <c r="A2" s="37" t="s">
        <v>998</v>
      </c>
      <c r="C2" s="37" t="s">
        <v>998</v>
      </c>
      <c r="D2" s="37" t="s">
        <v>998</v>
      </c>
      <c r="E2" s="37" t="s">
        <v>998</v>
      </c>
      <c r="F2" s="37" t="s">
        <v>998</v>
      </c>
    </row>
    <row r="3" spans="1:6" ht="14.25" customHeight="1" x14ac:dyDescent="0.2">
      <c r="A3" s="37" t="s">
        <v>999</v>
      </c>
      <c r="B3" s="38" t="s">
        <v>641</v>
      </c>
      <c r="C3" s="37" t="s">
        <v>42</v>
      </c>
      <c r="D3" s="37" t="s">
        <v>113</v>
      </c>
      <c r="E3" s="37" t="s">
        <v>1000</v>
      </c>
      <c r="F3" s="39" t="s">
        <v>1001</v>
      </c>
    </row>
    <row r="4" spans="1:6" ht="14.25" customHeight="1" x14ac:dyDescent="0.2">
      <c r="A4" s="37" t="s">
        <v>1002</v>
      </c>
      <c r="B4" s="38" t="s">
        <v>664</v>
      </c>
      <c r="C4" s="37" t="s">
        <v>141</v>
      </c>
      <c r="D4" s="37" t="s">
        <v>89</v>
      </c>
      <c r="E4" s="37" t="s">
        <v>50</v>
      </c>
      <c r="F4" s="39" t="s">
        <v>1003</v>
      </c>
    </row>
    <row r="5" spans="1:6" ht="14.25" customHeight="1" x14ac:dyDescent="0.2">
      <c r="A5" s="37" t="s">
        <v>1004</v>
      </c>
      <c r="B5" s="38" t="s">
        <v>683</v>
      </c>
      <c r="C5" s="37" t="s">
        <v>1005</v>
      </c>
      <c r="D5" s="37" t="s">
        <v>369</v>
      </c>
      <c r="F5" s="39" t="s">
        <v>1006</v>
      </c>
    </row>
    <row r="6" spans="1:6" ht="14.25" customHeight="1" x14ac:dyDescent="0.2">
      <c r="A6" s="37" t="s">
        <v>1007</v>
      </c>
      <c r="B6" s="38" t="s">
        <v>671</v>
      </c>
      <c r="C6" s="37" t="s">
        <v>1008</v>
      </c>
      <c r="F6" s="39" t="s">
        <v>1009</v>
      </c>
    </row>
    <row r="7" spans="1:6" ht="14.25" customHeight="1" x14ac:dyDescent="0.2">
      <c r="A7" s="37" t="s">
        <v>1010</v>
      </c>
      <c r="B7" s="38" t="s">
        <v>688</v>
      </c>
      <c r="C7" s="37" t="s">
        <v>149</v>
      </c>
      <c r="F7" s="39" t="s">
        <v>1011</v>
      </c>
    </row>
    <row r="8" spans="1:6" ht="14.25" customHeight="1" x14ac:dyDescent="0.2">
      <c r="A8" s="37" t="s">
        <v>1012</v>
      </c>
      <c r="B8" s="38" t="s">
        <v>695</v>
      </c>
      <c r="F8" s="39" t="s">
        <v>1013</v>
      </c>
    </row>
    <row r="9" spans="1:6" ht="14.25" customHeight="1" x14ac:dyDescent="0.2">
      <c r="A9" s="37" t="s">
        <v>1014</v>
      </c>
      <c r="B9" s="38" t="s">
        <v>702</v>
      </c>
      <c r="F9" s="39" t="s">
        <v>1015</v>
      </c>
    </row>
    <row r="10" spans="1:6" ht="14.25" customHeight="1" x14ac:dyDescent="0.2">
      <c r="A10" s="37" t="s">
        <v>1016</v>
      </c>
      <c r="B10" s="38" t="s">
        <v>711</v>
      </c>
      <c r="F10" s="39" t="s">
        <v>1017</v>
      </c>
    </row>
    <row r="11" spans="1:6" ht="14.25" customHeight="1" x14ac:dyDescent="0.2">
      <c r="A11" s="37" t="s">
        <v>1018</v>
      </c>
      <c r="B11" s="38" t="s">
        <v>727</v>
      </c>
    </row>
    <row r="12" spans="1:6" ht="14.25" customHeight="1" x14ac:dyDescent="0.2">
      <c r="A12" s="37" t="s">
        <v>1019</v>
      </c>
      <c r="B12" s="38" t="s">
        <v>1020</v>
      </c>
    </row>
    <row r="13" spans="1:6" ht="14.25" customHeight="1" x14ac:dyDescent="0.2">
      <c r="A13" s="37" t="s">
        <v>1021</v>
      </c>
      <c r="B13" s="38" t="s">
        <v>750</v>
      </c>
    </row>
    <row r="14" spans="1:6" ht="14.25" customHeight="1" x14ac:dyDescent="0.2">
      <c r="A14" s="37" t="s">
        <v>1022</v>
      </c>
      <c r="B14" s="38" t="s">
        <v>772</v>
      </c>
    </row>
    <row r="15" spans="1:6" ht="14.25" customHeight="1" x14ac:dyDescent="0.2">
      <c r="A15" s="37" t="s">
        <v>1023</v>
      </c>
      <c r="B15" s="38" t="s">
        <v>780</v>
      </c>
    </row>
    <row r="16" spans="1:6" ht="14.25" customHeight="1" x14ac:dyDescent="0.2">
      <c r="A16" s="37" t="s">
        <v>1024</v>
      </c>
      <c r="B16" s="38" t="s">
        <v>790</v>
      </c>
    </row>
    <row r="17" spans="1:4" ht="14.25" customHeight="1" x14ac:dyDescent="0.2">
      <c r="A17" s="37" t="s">
        <v>1025</v>
      </c>
      <c r="B17" s="38" t="s">
        <v>794</v>
      </c>
    </row>
    <row r="18" spans="1:4" ht="14.25" customHeight="1" x14ac:dyDescent="0.2">
      <c r="A18" s="37" t="s">
        <v>1026</v>
      </c>
      <c r="B18" s="38" t="s">
        <v>866</v>
      </c>
    </row>
    <row r="19" spans="1:4" ht="14.25" customHeight="1" x14ac:dyDescent="0.2">
      <c r="A19" s="37" t="s">
        <v>1027</v>
      </c>
      <c r="B19" s="38" t="s">
        <v>870</v>
      </c>
    </row>
    <row r="20" spans="1:4" ht="14.25" customHeight="1" x14ac:dyDescent="0.2">
      <c r="A20" s="37" t="s">
        <v>1028</v>
      </c>
      <c r="B20" s="38" t="s">
        <v>1029</v>
      </c>
    </row>
    <row r="23" spans="1:4" x14ac:dyDescent="0.2">
      <c r="B23" s="40">
        <v>0.245</v>
      </c>
      <c r="C23" s="40">
        <v>0.14499999999999999</v>
      </c>
      <c r="D23" s="40">
        <v>0.44500000000000001</v>
      </c>
    </row>
    <row r="24" spans="1:4" x14ac:dyDescent="0.2">
      <c r="B24" s="40">
        <v>9.5000000000000001E-2</v>
      </c>
      <c r="C24" s="40">
        <v>9.5000000000000001E-2</v>
      </c>
      <c r="D24" s="40">
        <v>0.115</v>
      </c>
    </row>
    <row r="25" spans="1:4" x14ac:dyDescent="0.2">
      <c r="B25" s="40">
        <v>0.29499999999999998</v>
      </c>
      <c r="C25" s="40">
        <v>0.44500000000000001</v>
      </c>
      <c r="D25" s="40">
        <v>0.20499999999999999</v>
      </c>
    </row>
    <row r="26" spans="1:4" x14ac:dyDescent="0.2">
      <c r="B26" s="40">
        <v>0.34499999999999997</v>
      </c>
      <c r="C26" s="40">
        <v>0.29499999999999998</v>
      </c>
      <c r="D26" s="40">
        <v>0.20499999999999999</v>
      </c>
    </row>
    <row r="28" spans="1:4" ht="15" x14ac:dyDescent="0.25">
      <c r="B28" s="41">
        <v>1</v>
      </c>
      <c r="C28" s="42">
        <v>0.79500000000000004</v>
      </c>
    </row>
    <row r="29" spans="1:4" ht="15" x14ac:dyDescent="0.25">
      <c r="B29" s="41">
        <v>0.79400000000000004</v>
      </c>
      <c r="C29" s="42">
        <v>0.495</v>
      </c>
    </row>
    <row r="30" spans="1:4" ht="15" x14ac:dyDescent="0.25">
      <c r="B30" s="41">
        <v>0.49399999999999999</v>
      </c>
      <c r="C30" s="42">
        <v>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L97"/>
  <sheetViews>
    <sheetView showGridLines="0" topLeftCell="A2" zoomScale="85" zoomScaleNormal="85" zoomScaleSheetLayoutView="100" workbookViewId="0">
      <selection activeCell="K5" sqref="K5"/>
    </sheetView>
  </sheetViews>
  <sheetFormatPr baseColWidth="10" defaultColWidth="11.42578125" defaultRowHeight="12.75" x14ac:dyDescent="0.25"/>
  <cols>
    <col min="1" max="1" width="11.42578125" style="3"/>
    <col min="2" max="2" width="12.7109375" style="4" customWidth="1"/>
    <col min="3" max="3" width="17.7109375" style="63" customWidth="1"/>
    <col min="4" max="4" width="11.5703125" style="4" customWidth="1"/>
    <col min="5" max="5" width="24.140625" style="67" customWidth="1"/>
    <col min="6" max="6" width="24.85546875" style="3" customWidth="1"/>
    <col min="7" max="8" width="15.85546875" style="68" customWidth="1"/>
    <col min="9" max="9" width="15" style="4" customWidth="1"/>
    <col min="10" max="10" width="14" style="4" customWidth="1"/>
    <col min="11" max="11" width="11" style="4" customWidth="1"/>
    <col min="12" max="16384" width="11.42578125" style="3"/>
  </cols>
  <sheetData>
    <row r="1" spans="1:12" ht="15.75" customHeight="1" thickBot="1" x14ac:dyDescent="0.3">
      <c r="A1" s="3" t="s">
        <v>1030</v>
      </c>
    </row>
    <row r="2" spans="1:12" s="4" customFormat="1" ht="28.5" customHeight="1" thickBot="1" x14ac:dyDescent="0.3">
      <c r="A2" s="141" t="s">
        <v>2</v>
      </c>
      <c r="B2" s="141" t="s">
        <v>3</v>
      </c>
      <c r="C2" s="141" t="s">
        <v>4</v>
      </c>
      <c r="D2" s="141" t="s">
        <v>5</v>
      </c>
      <c r="E2" s="141" t="s">
        <v>6</v>
      </c>
      <c r="F2" s="141" t="s">
        <v>8</v>
      </c>
      <c r="G2" s="151" t="s">
        <v>9</v>
      </c>
      <c r="H2" s="141" t="s">
        <v>10</v>
      </c>
      <c r="I2" s="141" t="s">
        <v>15</v>
      </c>
      <c r="J2" s="141" t="s">
        <v>35</v>
      </c>
      <c r="K2" s="153" t="s">
        <v>34</v>
      </c>
    </row>
    <row r="3" spans="1:12" s="63" customFormat="1" ht="90.75" hidden="1" customHeight="1" x14ac:dyDescent="0.25">
      <c r="B3" s="63" t="s">
        <v>37</v>
      </c>
      <c r="C3" s="63" t="s">
        <v>38</v>
      </c>
      <c r="E3" s="154" t="s">
        <v>39</v>
      </c>
      <c r="F3" s="150" t="s">
        <v>41</v>
      </c>
      <c r="G3" s="155" t="s">
        <v>42</v>
      </c>
      <c r="H3" s="155" t="s">
        <v>43</v>
      </c>
      <c r="I3" s="155" t="s">
        <v>50</v>
      </c>
      <c r="J3" s="161"/>
      <c r="K3" s="160"/>
    </row>
    <row r="4" spans="1:12" s="113" customFormat="1" ht="41.25" hidden="1" customHeight="1" x14ac:dyDescent="0.25">
      <c r="B4" s="128" t="s">
        <v>37</v>
      </c>
      <c r="C4" s="128" t="s">
        <v>53</v>
      </c>
      <c r="D4" s="128"/>
      <c r="E4" s="104" t="s">
        <v>54</v>
      </c>
      <c r="F4" s="104" t="s">
        <v>56</v>
      </c>
      <c r="G4" s="155" t="s">
        <v>42</v>
      </c>
      <c r="H4" s="5" t="s">
        <v>43</v>
      </c>
      <c r="I4" s="104" t="s">
        <v>50</v>
      </c>
      <c r="J4" s="119"/>
      <c r="K4" s="118"/>
    </row>
    <row r="5" spans="1:12" s="63" customFormat="1" ht="76.5" customHeight="1" x14ac:dyDescent="0.25">
      <c r="A5" s="63" t="s">
        <v>62</v>
      </c>
      <c r="B5" s="63" t="s">
        <v>37</v>
      </c>
      <c r="C5" s="63" t="s">
        <v>63</v>
      </c>
      <c r="D5" s="63" t="s">
        <v>64</v>
      </c>
      <c r="E5" s="1" t="s">
        <v>65</v>
      </c>
      <c r="F5" s="1" t="s">
        <v>67</v>
      </c>
      <c r="G5" s="155" t="s">
        <v>42</v>
      </c>
      <c r="H5" s="5" t="s">
        <v>43</v>
      </c>
      <c r="I5" s="5" t="s">
        <v>72</v>
      </c>
      <c r="J5" s="194" t="s">
        <v>73</v>
      </c>
      <c r="K5" s="49">
        <v>30</v>
      </c>
    </row>
    <row r="6" spans="1:12" s="63" customFormat="1" ht="76.5" customHeight="1" x14ac:dyDescent="0.25">
      <c r="A6" s="63" t="s">
        <v>62</v>
      </c>
      <c r="B6" s="63" t="s">
        <v>37</v>
      </c>
      <c r="C6" s="63" t="s">
        <v>63</v>
      </c>
      <c r="D6" s="63" t="s">
        <v>75</v>
      </c>
      <c r="E6" s="1" t="s">
        <v>76</v>
      </c>
      <c r="F6" s="1" t="s">
        <v>67</v>
      </c>
      <c r="G6" s="155" t="s">
        <v>42</v>
      </c>
      <c r="H6" s="5" t="s">
        <v>43</v>
      </c>
      <c r="I6" s="5" t="s">
        <v>72</v>
      </c>
      <c r="J6" s="194" t="s">
        <v>73</v>
      </c>
      <c r="K6" s="109">
        <v>16</v>
      </c>
    </row>
    <row r="7" spans="1:12" ht="76.5" customHeight="1" x14ac:dyDescent="0.25">
      <c r="A7" s="3" t="s">
        <v>62</v>
      </c>
      <c r="B7" s="4" t="s">
        <v>37</v>
      </c>
      <c r="C7" s="4" t="s">
        <v>63</v>
      </c>
      <c r="D7" s="4" t="s">
        <v>80</v>
      </c>
      <c r="E7" s="78" t="s">
        <v>81</v>
      </c>
      <c r="F7" s="1" t="s">
        <v>67</v>
      </c>
      <c r="G7" s="78" t="s">
        <v>83</v>
      </c>
      <c r="H7" s="5" t="s">
        <v>43</v>
      </c>
      <c r="I7" s="78" t="s">
        <v>72</v>
      </c>
      <c r="J7" s="194" t="s">
        <v>73</v>
      </c>
      <c r="K7" s="89">
        <v>0.98689138576779023</v>
      </c>
    </row>
    <row r="8" spans="1:12" s="128" customFormat="1" ht="104.25" hidden="1" customHeight="1" x14ac:dyDescent="0.25">
      <c r="B8" s="63" t="s">
        <v>37</v>
      </c>
      <c r="C8" s="63" t="s">
        <v>38</v>
      </c>
      <c r="D8" s="113"/>
      <c r="E8" s="130" t="s">
        <v>87</v>
      </c>
      <c r="F8" s="1" t="s">
        <v>41</v>
      </c>
      <c r="G8" s="155" t="s">
        <v>42</v>
      </c>
      <c r="H8" s="5" t="s">
        <v>89</v>
      </c>
      <c r="I8" s="104" t="s">
        <v>50</v>
      </c>
      <c r="J8" s="119"/>
      <c r="K8" s="118"/>
    </row>
    <row r="9" spans="1:12" s="4" customFormat="1" ht="76.5" customHeight="1" x14ac:dyDescent="0.25">
      <c r="A9" s="4" t="s">
        <v>62</v>
      </c>
      <c r="B9" s="4" t="s">
        <v>37</v>
      </c>
      <c r="C9" s="4" t="s">
        <v>63</v>
      </c>
      <c r="D9" s="4" t="s">
        <v>93</v>
      </c>
      <c r="E9" s="5" t="s">
        <v>94</v>
      </c>
      <c r="F9" s="1" t="s">
        <v>67</v>
      </c>
      <c r="G9" s="5" t="s">
        <v>83</v>
      </c>
      <c r="H9" s="5" t="s">
        <v>43</v>
      </c>
      <c r="I9" s="5" t="s">
        <v>72</v>
      </c>
      <c r="J9" s="194" t="s">
        <v>73</v>
      </c>
      <c r="K9" s="89">
        <v>1</v>
      </c>
    </row>
    <row r="10" spans="1:12" s="63" customFormat="1" ht="76.5" customHeight="1" x14ac:dyDescent="0.25">
      <c r="A10" s="66" t="s">
        <v>62</v>
      </c>
      <c r="B10" s="4" t="s">
        <v>37</v>
      </c>
      <c r="C10" s="4" t="s">
        <v>63</v>
      </c>
      <c r="D10" s="4" t="s">
        <v>99</v>
      </c>
      <c r="E10" s="5" t="s">
        <v>100</v>
      </c>
      <c r="F10" s="1" t="s">
        <v>67</v>
      </c>
      <c r="G10" s="5" t="s">
        <v>83</v>
      </c>
      <c r="H10" s="5" t="s">
        <v>43</v>
      </c>
      <c r="I10" s="5" t="s">
        <v>72</v>
      </c>
      <c r="J10" s="195" t="s">
        <v>73</v>
      </c>
      <c r="K10" s="50">
        <v>0.96207792207792209</v>
      </c>
      <c r="L10" s="66"/>
    </row>
    <row r="11" spans="1:12" s="131" customFormat="1" ht="50.25" customHeight="1" x14ac:dyDescent="0.25">
      <c r="A11" s="63" t="s">
        <v>62</v>
      </c>
      <c r="B11" s="4" t="s">
        <v>37</v>
      </c>
      <c r="C11" s="4" t="s">
        <v>63</v>
      </c>
      <c r="D11" s="4" t="s">
        <v>106</v>
      </c>
      <c r="E11" s="78" t="s">
        <v>107</v>
      </c>
      <c r="F11" s="1" t="s">
        <v>67</v>
      </c>
      <c r="G11" s="155" t="s">
        <v>42</v>
      </c>
      <c r="H11" s="5" t="s">
        <v>43</v>
      </c>
      <c r="I11" s="78" t="s">
        <v>72</v>
      </c>
      <c r="J11" s="194" t="s">
        <v>73</v>
      </c>
      <c r="K11" s="102">
        <v>90</v>
      </c>
      <c r="L11" s="63"/>
    </row>
    <row r="12" spans="1:12" s="66" customFormat="1" ht="93.75" hidden="1" customHeight="1" x14ac:dyDescent="0.25">
      <c r="A12" s="131"/>
      <c r="B12" s="63" t="s">
        <v>37</v>
      </c>
      <c r="C12" s="4" t="s">
        <v>63</v>
      </c>
      <c r="D12" s="131"/>
      <c r="E12" s="132" t="s">
        <v>111</v>
      </c>
      <c r="F12" s="1" t="s">
        <v>67</v>
      </c>
      <c r="G12" s="155" t="s">
        <v>42</v>
      </c>
      <c r="H12" s="2" t="s">
        <v>113</v>
      </c>
      <c r="I12" s="104" t="s">
        <v>50</v>
      </c>
      <c r="J12" s="117"/>
      <c r="K12" s="133"/>
      <c r="L12" s="131"/>
    </row>
    <row r="13" spans="1:12" s="66" customFormat="1" ht="93.75" hidden="1" customHeight="1" x14ac:dyDescent="0.25">
      <c r="B13" s="63" t="s">
        <v>37</v>
      </c>
      <c r="C13" s="4" t="s">
        <v>63</v>
      </c>
      <c r="D13" s="4" t="s">
        <v>116</v>
      </c>
      <c r="E13" s="108" t="s">
        <v>117</v>
      </c>
      <c r="F13" s="5" t="s">
        <v>67</v>
      </c>
      <c r="G13" s="155" t="s">
        <v>42</v>
      </c>
      <c r="H13" s="5" t="s">
        <v>43</v>
      </c>
      <c r="I13" s="5" t="s">
        <v>50</v>
      </c>
      <c r="J13" s="94"/>
      <c r="K13" s="89"/>
    </row>
    <row r="14" spans="1:12" s="70" customFormat="1" ht="93.75" hidden="1" customHeight="1" x14ac:dyDescent="0.25">
      <c r="B14" s="63" t="s">
        <v>37</v>
      </c>
      <c r="C14" s="4" t="s">
        <v>63</v>
      </c>
      <c r="D14" s="4"/>
      <c r="E14" s="108" t="s">
        <v>122</v>
      </c>
      <c r="F14" s="5" t="s">
        <v>67</v>
      </c>
      <c r="G14" s="155" t="s">
        <v>42</v>
      </c>
      <c r="H14" s="5" t="s">
        <v>43</v>
      </c>
      <c r="I14" s="5" t="s">
        <v>50</v>
      </c>
      <c r="J14" s="94"/>
      <c r="K14" s="89"/>
    </row>
    <row r="15" spans="1:12" s="63" customFormat="1" ht="93" customHeight="1" x14ac:dyDescent="0.25">
      <c r="A15" s="63" t="s">
        <v>62</v>
      </c>
      <c r="B15" s="63" t="s">
        <v>37</v>
      </c>
      <c r="C15" s="63" t="s">
        <v>126</v>
      </c>
      <c r="D15" s="63" t="s">
        <v>127</v>
      </c>
      <c r="E15" s="1" t="s">
        <v>128</v>
      </c>
      <c r="F15" s="1" t="s">
        <v>130</v>
      </c>
      <c r="G15" s="1" t="s">
        <v>83</v>
      </c>
      <c r="H15" s="5" t="s">
        <v>43</v>
      </c>
      <c r="I15" s="5" t="s">
        <v>72</v>
      </c>
      <c r="J15" s="194" t="s">
        <v>73</v>
      </c>
      <c r="K15" s="50">
        <v>0.87037037037037035</v>
      </c>
    </row>
    <row r="16" spans="1:12" s="63" customFormat="1" ht="99.75" hidden="1" customHeight="1" x14ac:dyDescent="0.25">
      <c r="A16" s="63" t="s">
        <v>134</v>
      </c>
      <c r="B16" s="4" t="s">
        <v>135</v>
      </c>
      <c r="C16" s="174" t="s">
        <v>136</v>
      </c>
      <c r="D16" s="63" t="s">
        <v>137</v>
      </c>
      <c r="E16" s="65" t="s">
        <v>138</v>
      </c>
      <c r="F16" s="65" t="s">
        <v>140</v>
      </c>
      <c r="G16" s="52" t="s">
        <v>141</v>
      </c>
      <c r="H16" s="5" t="s">
        <v>43</v>
      </c>
      <c r="I16" s="52" t="s">
        <v>72</v>
      </c>
      <c r="J16" s="94" t="s">
        <v>73</v>
      </c>
      <c r="K16" s="89">
        <v>0.91123287671232878</v>
      </c>
    </row>
    <row r="17" spans="1:12" s="63" customFormat="1" ht="93" hidden="1" customHeight="1" x14ac:dyDescent="0.25">
      <c r="A17" s="63" t="s">
        <v>134</v>
      </c>
      <c r="B17" s="4" t="s">
        <v>135</v>
      </c>
      <c r="C17" s="63" t="s">
        <v>136</v>
      </c>
      <c r="D17" s="63" t="s">
        <v>146</v>
      </c>
      <c r="E17" s="224" t="s">
        <v>147</v>
      </c>
      <c r="F17" s="224" t="s">
        <v>140</v>
      </c>
      <c r="G17" s="224" t="s">
        <v>149</v>
      </c>
      <c r="H17" s="187" t="s">
        <v>43</v>
      </c>
      <c r="I17" s="224" t="s">
        <v>72</v>
      </c>
      <c r="J17" s="226" t="s">
        <v>73</v>
      </c>
      <c r="K17" s="184">
        <v>0.63687150837988826</v>
      </c>
    </row>
    <row r="18" spans="1:12" s="63" customFormat="1" ht="93" hidden="1" customHeight="1" x14ac:dyDescent="0.25">
      <c r="A18" s="63" t="s">
        <v>134</v>
      </c>
      <c r="B18" s="4" t="s">
        <v>135</v>
      </c>
      <c r="C18" s="63" t="s">
        <v>136</v>
      </c>
      <c r="D18" s="63" t="s">
        <v>154</v>
      </c>
      <c r="E18" s="208" t="s">
        <v>155</v>
      </c>
      <c r="F18" s="208" t="s">
        <v>140</v>
      </c>
      <c r="G18" s="208" t="s">
        <v>83</v>
      </c>
      <c r="H18" s="176" t="s">
        <v>43</v>
      </c>
      <c r="I18" s="208" t="s">
        <v>72</v>
      </c>
      <c r="J18" s="211" t="s">
        <v>73</v>
      </c>
      <c r="K18" s="210">
        <v>0.99513776337115067</v>
      </c>
    </row>
    <row r="19" spans="1:12" s="63" customFormat="1" ht="93" hidden="1" customHeight="1" x14ac:dyDescent="0.25">
      <c r="A19" s="63" t="s">
        <v>62</v>
      </c>
      <c r="B19" s="63" t="s">
        <v>160</v>
      </c>
      <c r="C19" s="63" t="s">
        <v>161</v>
      </c>
      <c r="D19" s="63" t="s">
        <v>162</v>
      </c>
      <c r="E19" s="175" t="s">
        <v>163</v>
      </c>
      <c r="F19" s="175" t="s">
        <v>165</v>
      </c>
      <c r="G19" s="155" t="s">
        <v>42</v>
      </c>
      <c r="H19" s="176" t="s">
        <v>43</v>
      </c>
      <c r="I19" s="176" t="s">
        <v>72</v>
      </c>
      <c r="J19" s="212" t="s">
        <v>73</v>
      </c>
      <c r="K19" s="209">
        <v>1</v>
      </c>
    </row>
    <row r="20" spans="1:12" s="63" customFormat="1" ht="115.5" hidden="1" customHeight="1" x14ac:dyDescent="0.25">
      <c r="A20" s="63" t="s">
        <v>62</v>
      </c>
      <c r="B20" s="63" t="s">
        <v>160</v>
      </c>
      <c r="C20" s="63" t="s">
        <v>161</v>
      </c>
      <c r="D20" s="63" t="s">
        <v>169</v>
      </c>
      <c r="E20" s="175" t="s">
        <v>170</v>
      </c>
      <c r="F20" s="175" t="s">
        <v>165</v>
      </c>
      <c r="G20" s="155" t="s">
        <v>42</v>
      </c>
      <c r="H20" s="176" t="s">
        <v>43</v>
      </c>
      <c r="I20" s="176" t="s">
        <v>72</v>
      </c>
      <c r="J20" s="210" t="s">
        <v>73</v>
      </c>
      <c r="K20" s="213">
        <v>1.2790697674418605</v>
      </c>
    </row>
    <row r="21" spans="1:12" s="63" customFormat="1" ht="115.5" hidden="1" customHeight="1" x14ac:dyDescent="0.25">
      <c r="A21" s="63" t="s">
        <v>62</v>
      </c>
      <c r="B21" s="63" t="s">
        <v>135</v>
      </c>
      <c r="C21" s="63" t="s">
        <v>175</v>
      </c>
      <c r="D21" s="63" t="s">
        <v>176</v>
      </c>
      <c r="E21" s="175" t="s">
        <v>177</v>
      </c>
      <c r="F21" s="175" t="s">
        <v>179</v>
      </c>
      <c r="G21" s="155" t="s">
        <v>42</v>
      </c>
      <c r="H21" s="176" t="s">
        <v>43</v>
      </c>
      <c r="I21" s="176" t="s">
        <v>72</v>
      </c>
      <c r="J21" s="210" t="s">
        <v>73</v>
      </c>
      <c r="K21" s="214">
        <v>1</v>
      </c>
    </row>
    <row r="22" spans="1:12" s="63" customFormat="1" ht="84" hidden="1" customHeight="1" x14ac:dyDescent="0.25">
      <c r="A22" s="63" t="s">
        <v>183</v>
      </c>
      <c r="B22" s="63" t="s">
        <v>160</v>
      </c>
      <c r="C22" s="63" t="s">
        <v>184</v>
      </c>
      <c r="D22" s="4" t="s">
        <v>185</v>
      </c>
      <c r="E22" s="175" t="s">
        <v>186</v>
      </c>
      <c r="F22" s="175" t="s">
        <v>188</v>
      </c>
      <c r="G22" s="155" t="s">
        <v>42</v>
      </c>
      <c r="H22" s="176" t="s">
        <v>43</v>
      </c>
      <c r="I22" s="175" t="s">
        <v>72</v>
      </c>
      <c r="J22" s="212" t="s">
        <v>73</v>
      </c>
      <c r="K22" s="213">
        <v>1</v>
      </c>
    </row>
    <row r="23" spans="1:12" s="63" customFormat="1" ht="84" hidden="1" customHeight="1" x14ac:dyDescent="0.25">
      <c r="A23" s="63" t="s">
        <v>62</v>
      </c>
      <c r="B23" s="63" t="s">
        <v>135</v>
      </c>
      <c r="C23" s="63" t="s">
        <v>191</v>
      </c>
      <c r="D23" s="63" t="s">
        <v>192</v>
      </c>
      <c r="E23" s="175" t="s">
        <v>193</v>
      </c>
      <c r="F23" s="175" t="s">
        <v>179</v>
      </c>
      <c r="G23" s="175" t="s">
        <v>83</v>
      </c>
      <c r="H23" s="176" t="s">
        <v>43</v>
      </c>
      <c r="I23" s="176" t="s">
        <v>72</v>
      </c>
      <c r="J23" s="209" t="s">
        <v>73</v>
      </c>
      <c r="K23" s="210">
        <v>0.9007633587786259</v>
      </c>
    </row>
    <row r="24" spans="1:12" s="113" customFormat="1" ht="84" hidden="1" customHeight="1" x14ac:dyDescent="0.25">
      <c r="B24" s="63" t="s">
        <v>37</v>
      </c>
      <c r="C24" s="63" t="s">
        <v>38</v>
      </c>
      <c r="E24" s="202" t="s">
        <v>198</v>
      </c>
      <c r="F24" s="202" t="s">
        <v>41</v>
      </c>
      <c r="G24" s="155" t="s">
        <v>42</v>
      </c>
      <c r="H24" s="179" t="s">
        <v>89</v>
      </c>
      <c r="I24" s="243" t="s">
        <v>50</v>
      </c>
      <c r="J24" s="249"/>
      <c r="K24" s="247"/>
    </row>
    <row r="25" spans="1:12" s="63" customFormat="1" ht="100.5" hidden="1" customHeight="1" x14ac:dyDescent="0.25">
      <c r="A25" s="63" t="s">
        <v>62</v>
      </c>
      <c r="B25" s="63" t="s">
        <v>205</v>
      </c>
      <c r="C25" s="63" t="s">
        <v>206</v>
      </c>
      <c r="D25" s="63" t="s">
        <v>207</v>
      </c>
      <c r="E25" s="175" t="s">
        <v>208</v>
      </c>
      <c r="F25" s="175" t="s">
        <v>210</v>
      </c>
      <c r="G25" s="155" t="s">
        <v>42</v>
      </c>
      <c r="H25" s="175" t="s">
        <v>89</v>
      </c>
      <c r="I25" s="176" t="s">
        <v>72</v>
      </c>
      <c r="J25" s="209" t="s">
        <v>214</v>
      </c>
      <c r="K25" s="213">
        <v>0.27272727272727271</v>
      </c>
    </row>
    <row r="26" spans="1:12" s="63" customFormat="1" ht="100.5" hidden="1" customHeight="1" x14ac:dyDescent="0.25">
      <c r="A26" s="63" t="s">
        <v>62</v>
      </c>
      <c r="B26" s="63" t="s">
        <v>205</v>
      </c>
      <c r="C26" s="63" t="s">
        <v>206</v>
      </c>
      <c r="D26" s="63" t="s">
        <v>216</v>
      </c>
      <c r="E26" s="175" t="s">
        <v>217</v>
      </c>
      <c r="F26" s="175" t="s">
        <v>130</v>
      </c>
      <c r="G26" s="155" t="s">
        <v>42</v>
      </c>
      <c r="H26" s="176" t="s">
        <v>43</v>
      </c>
      <c r="I26" s="176" t="s">
        <v>72</v>
      </c>
      <c r="J26" s="212" t="s">
        <v>73</v>
      </c>
      <c r="K26" s="209">
        <v>1</v>
      </c>
    </row>
    <row r="27" spans="1:12" s="63" customFormat="1" ht="113.25" hidden="1" customHeight="1" x14ac:dyDescent="0.25">
      <c r="A27" s="63" t="s">
        <v>62</v>
      </c>
      <c r="B27" s="63" t="s">
        <v>205</v>
      </c>
      <c r="C27" s="63" t="s">
        <v>206</v>
      </c>
      <c r="D27" s="63" t="s">
        <v>222</v>
      </c>
      <c r="E27" s="175" t="s">
        <v>223</v>
      </c>
      <c r="F27" s="175" t="s">
        <v>130</v>
      </c>
      <c r="G27" s="155" t="s">
        <v>42</v>
      </c>
      <c r="H27" s="176" t="s">
        <v>43</v>
      </c>
      <c r="I27" s="176" t="s">
        <v>72</v>
      </c>
      <c r="J27" s="212" t="s">
        <v>73</v>
      </c>
      <c r="K27" s="209">
        <v>1</v>
      </c>
      <c r="L27" s="140"/>
    </row>
    <row r="28" spans="1:12" s="63" customFormat="1" ht="113.25" hidden="1" customHeight="1" x14ac:dyDescent="0.25">
      <c r="A28" s="63" t="s">
        <v>62</v>
      </c>
      <c r="B28" s="63" t="s">
        <v>205</v>
      </c>
      <c r="C28" s="63" t="s">
        <v>206</v>
      </c>
      <c r="D28" s="63" t="s">
        <v>227</v>
      </c>
      <c r="E28" s="175" t="s">
        <v>228</v>
      </c>
      <c r="F28" s="175" t="s">
        <v>130</v>
      </c>
      <c r="G28" s="155" t="s">
        <v>42</v>
      </c>
      <c r="H28" s="176" t="s">
        <v>43</v>
      </c>
      <c r="I28" s="176" t="s">
        <v>72</v>
      </c>
      <c r="J28" s="212" t="s">
        <v>73</v>
      </c>
      <c r="K28" s="209">
        <v>1</v>
      </c>
    </row>
    <row r="29" spans="1:12" s="63" customFormat="1" ht="113.25" hidden="1" customHeight="1" x14ac:dyDescent="0.25">
      <c r="A29" s="63" t="s">
        <v>62</v>
      </c>
      <c r="B29" s="3" t="s">
        <v>135</v>
      </c>
      <c r="C29" s="63" t="s">
        <v>232</v>
      </c>
      <c r="D29" s="3" t="s">
        <v>233</v>
      </c>
      <c r="E29" s="175" t="s">
        <v>234</v>
      </c>
      <c r="F29" s="175" t="s">
        <v>236</v>
      </c>
      <c r="G29" s="175" t="s">
        <v>141</v>
      </c>
      <c r="H29" s="176" t="s">
        <v>43</v>
      </c>
      <c r="I29" s="176" t="s">
        <v>72</v>
      </c>
      <c r="J29" s="212" t="s">
        <v>73</v>
      </c>
      <c r="K29" s="210">
        <v>1</v>
      </c>
    </row>
    <row r="30" spans="1:12" s="63" customFormat="1" ht="91.5" hidden="1" customHeight="1" x14ac:dyDescent="0.25">
      <c r="A30" s="63" t="s">
        <v>62</v>
      </c>
      <c r="B30" s="63" t="s">
        <v>135</v>
      </c>
      <c r="C30" s="63" t="s">
        <v>232</v>
      </c>
      <c r="D30" s="63" t="s">
        <v>242</v>
      </c>
      <c r="E30" s="175" t="s">
        <v>243</v>
      </c>
      <c r="F30" s="175" t="s">
        <v>236</v>
      </c>
      <c r="G30" s="155" t="s">
        <v>42</v>
      </c>
      <c r="H30" s="175" t="s">
        <v>113</v>
      </c>
      <c r="I30" s="176" t="s">
        <v>72</v>
      </c>
      <c r="J30" s="212" t="s">
        <v>73</v>
      </c>
      <c r="K30" s="210">
        <v>1</v>
      </c>
    </row>
    <row r="31" spans="1:12" s="63" customFormat="1" ht="84.75" hidden="1" customHeight="1" x14ac:dyDescent="0.25">
      <c r="A31" s="63" t="s">
        <v>62</v>
      </c>
      <c r="B31" s="63" t="s">
        <v>135</v>
      </c>
      <c r="C31" s="1" t="s">
        <v>232</v>
      </c>
      <c r="D31" s="63" t="s">
        <v>248</v>
      </c>
      <c r="E31" s="175" t="s">
        <v>249</v>
      </c>
      <c r="F31" s="175" t="s">
        <v>236</v>
      </c>
      <c r="G31" s="155" t="s">
        <v>42</v>
      </c>
      <c r="H31" s="176" t="s">
        <v>43</v>
      </c>
      <c r="I31" s="176" t="s">
        <v>72</v>
      </c>
      <c r="J31" s="212" t="s">
        <v>73</v>
      </c>
      <c r="K31" s="210">
        <v>7.9877630982136738E-2</v>
      </c>
    </row>
    <row r="32" spans="1:12" s="63" customFormat="1" ht="111" customHeight="1" x14ac:dyDescent="0.25">
      <c r="A32" s="63" t="s">
        <v>134</v>
      </c>
      <c r="B32" s="4" t="s">
        <v>37</v>
      </c>
      <c r="C32" s="187" t="s">
        <v>53</v>
      </c>
      <c r="D32" s="4" t="s">
        <v>254</v>
      </c>
      <c r="E32" s="176" t="s">
        <v>255</v>
      </c>
      <c r="F32" s="176" t="s">
        <v>56</v>
      </c>
      <c r="G32" s="155" t="s">
        <v>42</v>
      </c>
      <c r="H32" s="176"/>
      <c r="I32" s="176" t="s">
        <v>72</v>
      </c>
      <c r="J32" s="212"/>
      <c r="K32" s="213"/>
    </row>
    <row r="33" spans="1:12" s="63" customFormat="1" ht="91.5" customHeight="1" x14ac:dyDescent="0.25">
      <c r="A33" s="189" t="s">
        <v>1031</v>
      </c>
      <c r="B33" s="188" t="s">
        <v>37</v>
      </c>
      <c r="C33" s="188" t="s">
        <v>53</v>
      </c>
      <c r="D33" s="188" t="s">
        <v>262</v>
      </c>
      <c r="E33" s="250" t="s">
        <v>263</v>
      </c>
      <c r="F33" s="155" t="s">
        <v>56</v>
      </c>
      <c r="G33" s="155" t="s">
        <v>141</v>
      </c>
      <c r="H33" s="155" t="s">
        <v>89</v>
      </c>
      <c r="I33" s="155" t="s">
        <v>72</v>
      </c>
      <c r="J33" s="161" t="s">
        <v>73</v>
      </c>
      <c r="K33" s="251">
        <v>7.5648442287411771E-2</v>
      </c>
    </row>
    <row r="34" spans="1:12" ht="68.25" customHeight="1" x14ac:dyDescent="0.25">
      <c r="A34" s="176" t="s">
        <v>1031</v>
      </c>
      <c r="B34" s="176" t="s">
        <v>37</v>
      </c>
      <c r="C34" s="176" t="s">
        <v>53</v>
      </c>
      <c r="D34" s="176" t="s">
        <v>269</v>
      </c>
      <c r="E34" s="234" t="s">
        <v>270</v>
      </c>
      <c r="F34" s="187" t="s">
        <v>56</v>
      </c>
      <c r="G34" s="187" t="s">
        <v>141</v>
      </c>
      <c r="H34" s="187" t="s">
        <v>43</v>
      </c>
      <c r="I34" s="187" t="s">
        <v>72</v>
      </c>
      <c r="J34" s="237" t="s">
        <v>73</v>
      </c>
      <c r="K34" s="236">
        <v>0.98852384468995014</v>
      </c>
      <c r="L34" s="4"/>
    </row>
    <row r="35" spans="1:12" s="63" customFormat="1" ht="87" hidden="1" customHeight="1" x14ac:dyDescent="0.25">
      <c r="A35" s="63" t="s">
        <v>62</v>
      </c>
      <c r="B35" s="63" t="s">
        <v>205</v>
      </c>
      <c r="C35" s="63" t="s">
        <v>276</v>
      </c>
      <c r="D35" s="63" t="s">
        <v>277</v>
      </c>
      <c r="E35" s="175" t="s">
        <v>278</v>
      </c>
      <c r="F35" s="175" t="s">
        <v>280</v>
      </c>
      <c r="G35" s="155" t="s">
        <v>42</v>
      </c>
      <c r="H35" s="176" t="s">
        <v>43</v>
      </c>
      <c r="I35" s="176" t="s">
        <v>72</v>
      </c>
      <c r="J35" s="212" t="s">
        <v>73</v>
      </c>
      <c r="K35" s="209">
        <v>1</v>
      </c>
    </row>
    <row r="36" spans="1:12" s="4" customFormat="1" ht="102" hidden="1" customHeight="1" x14ac:dyDescent="0.25">
      <c r="A36" s="63" t="s">
        <v>62</v>
      </c>
      <c r="B36" s="63" t="s">
        <v>205</v>
      </c>
      <c r="C36" s="1" t="s">
        <v>276</v>
      </c>
      <c r="D36" s="63" t="s">
        <v>284</v>
      </c>
      <c r="E36" s="175" t="s">
        <v>285</v>
      </c>
      <c r="F36" s="175" t="s">
        <v>280</v>
      </c>
      <c r="G36" s="155" t="s">
        <v>42</v>
      </c>
      <c r="H36" s="176" t="s">
        <v>43</v>
      </c>
      <c r="I36" s="176" t="s">
        <v>72</v>
      </c>
      <c r="J36" s="212" t="s">
        <v>73</v>
      </c>
      <c r="K36" s="209">
        <v>1</v>
      </c>
      <c r="L36" s="63"/>
    </row>
    <row r="37" spans="1:12" s="4" customFormat="1" ht="102" customHeight="1" x14ac:dyDescent="0.25">
      <c r="A37" s="63" t="s">
        <v>62</v>
      </c>
      <c r="B37" s="4" t="s">
        <v>37</v>
      </c>
      <c r="C37" s="187" t="s">
        <v>290</v>
      </c>
      <c r="D37" s="4" t="s">
        <v>291</v>
      </c>
      <c r="E37" s="176" t="s">
        <v>292</v>
      </c>
      <c r="F37" s="176" t="s">
        <v>294</v>
      </c>
      <c r="G37" s="155" t="s">
        <v>42</v>
      </c>
      <c r="H37" s="176" t="s">
        <v>43</v>
      </c>
      <c r="I37" s="176" t="s">
        <v>72</v>
      </c>
      <c r="J37" s="270" t="s">
        <v>73</v>
      </c>
      <c r="K37" s="213">
        <v>0.93708333333333327</v>
      </c>
      <c r="L37" s="63"/>
    </row>
    <row r="38" spans="1:12" s="4" customFormat="1" ht="102" hidden="1" customHeight="1" x14ac:dyDescent="0.25">
      <c r="A38" s="188" t="s">
        <v>62</v>
      </c>
      <c r="B38" s="188" t="s">
        <v>135</v>
      </c>
      <c r="C38" s="188" t="s">
        <v>299</v>
      </c>
      <c r="D38" s="188" t="s">
        <v>300</v>
      </c>
      <c r="E38" s="252" t="s">
        <v>301</v>
      </c>
      <c r="F38" s="150" t="s">
        <v>303</v>
      </c>
      <c r="G38" s="155" t="s">
        <v>42</v>
      </c>
      <c r="H38" s="155" t="s">
        <v>43</v>
      </c>
      <c r="I38" s="155" t="s">
        <v>72</v>
      </c>
      <c r="J38" s="209" t="s">
        <v>73</v>
      </c>
      <c r="K38" s="251">
        <v>1.018337021814733</v>
      </c>
    </row>
    <row r="39" spans="1:12" s="63" customFormat="1" ht="93.75" hidden="1" customHeight="1" x14ac:dyDescent="0.25">
      <c r="A39" s="176" t="s">
        <v>62</v>
      </c>
      <c r="B39" s="176" t="s">
        <v>135</v>
      </c>
      <c r="C39" s="176" t="s">
        <v>299</v>
      </c>
      <c r="D39" s="176" t="s">
        <v>307</v>
      </c>
      <c r="E39" s="169" t="s">
        <v>308</v>
      </c>
      <c r="F39" s="1" t="s">
        <v>303</v>
      </c>
      <c r="G39" s="1" t="s">
        <v>83</v>
      </c>
      <c r="H39" s="5" t="s">
        <v>43</v>
      </c>
      <c r="I39" s="5" t="s">
        <v>72</v>
      </c>
      <c r="J39" s="209" t="s">
        <v>73</v>
      </c>
      <c r="K39" s="88">
        <v>0.98089171974522293</v>
      </c>
      <c r="L39" s="4"/>
    </row>
    <row r="40" spans="1:12" s="63" customFormat="1" ht="78.75" hidden="1" customHeight="1" x14ac:dyDescent="0.25">
      <c r="B40" s="63" t="s">
        <v>135</v>
      </c>
      <c r="C40" s="63" t="s">
        <v>136</v>
      </c>
      <c r="D40" s="138" t="s">
        <v>313</v>
      </c>
      <c r="E40" s="112" t="s">
        <v>314</v>
      </c>
      <c r="F40" s="52" t="s">
        <v>140</v>
      </c>
      <c r="G40" s="155" t="s">
        <v>42</v>
      </c>
      <c r="H40" s="5" t="s">
        <v>43</v>
      </c>
      <c r="I40" s="52" t="s">
        <v>50</v>
      </c>
      <c r="J40" s="271"/>
      <c r="K40" s="89"/>
    </row>
    <row r="41" spans="1:12" s="63" customFormat="1" ht="93.75" hidden="1" customHeight="1" x14ac:dyDescent="0.25">
      <c r="A41" s="189" t="s">
        <v>62</v>
      </c>
      <c r="B41" s="188" t="s">
        <v>135</v>
      </c>
      <c r="C41" s="188" t="s">
        <v>299</v>
      </c>
      <c r="D41" s="188" t="s">
        <v>319</v>
      </c>
      <c r="E41" s="169" t="s">
        <v>320</v>
      </c>
      <c r="F41" s="1" t="s">
        <v>303</v>
      </c>
      <c r="G41" s="155" t="s">
        <v>42</v>
      </c>
      <c r="H41" s="5" t="s">
        <v>43</v>
      </c>
      <c r="I41" s="5" t="s">
        <v>72</v>
      </c>
      <c r="J41" s="209" t="s">
        <v>73</v>
      </c>
      <c r="K41" s="88">
        <v>0.98115429917550057</v>
      </c>
    </row>
    <row r="42" spans="1:12" s="63" customFormat="1" ht="93.75" hidden="1" customHeight="1" x14ac:dyDescent="0.25">
      <c r="A42" s="189" t="s">
        <v>62</v>
      </c>
      <c r="B42" s="188" t="s">
        <v>135</v>
      </c>
      <c r="C42" s="188" t="s">
        <v>299</v>
      </c>
      <c r="D42" s="188" t="s">
        <v>324</v>
      </c>
      <c r="E42" s="169" t="s">
        <v>325</v>
      </c>
      <c r="F42" s="1" t="s">
        <v>303</v>
      </c>
      <c r="G42" s="155" t="s">
        <v>42</v>
      </c>
      <c r="H42" s="5" t="s">
        <v>43</v>
      </c>
      <c r="I42" s="5" t="s">
        <v>72</v>
      </c>
      <c r="J42" s="209" t="s">
        <v>73</v>
      </c>
      <c r="K42" s="88">
        <v>1.0319792566983579</v>
      </c>
    </row>
    <row r="43" spans="1:12" s="63" customFormat="1" ht="93.75" hidden="1" customHeight="1" x14ac:dyDescent="0.25">
      <c r="A43" s="175" t="s">
        <v>62</v>
      </c>
      <c r="B43" s="176" t="s">
        <v>135</v>
      </c>
      <c r="C43" s="176" t="s">
        <v>299</v>
      </c>
      <c r="D43" s="176" t="s">
        <v>329</v>
      </c>
      <c r="E43" s="169" t="s">
        <v>330</v>
      </c>
      <c r="F43" s="1" t="s">
        <v>303</v>
      </c>
      <c r="G43" s="155" t="s">
        <v>42</v>
      </c>
      <c r="H43" s="5" t="s">
        <v>43</v>
      </c>
      <c r="I43" s="5" t="s">
        <v>72</v>
      </c>
      <c r="J43" s="209" t="s">
        <v>73</v>
      </c>
      <c r="K43" s="88">
        <v>1</v>
      </c>
    </row>
    <row r="44" spans="1:12" s="63" customFormat="1" ht="93.75" hidden="1" customHeight="1" x14ac:dyDescent="0.25">
      <c r="A44" s="175" t="s">
        <v>62</v>
      </c>
      <c r="B44" s="176" t="s">
        <v>135</v>
      </c>
      <c r="C44" s="176" t="s">
        <v>299</v>
      </c>
      <c r="D44" s="176" t="s">
        <v>335</v>
      </c>
      <c r="E44" s="182" t="s">
        <v>336</v>
      </c>
      <c r="F44" s="192" t="s">
        <v>303</v>
      </c>
      <c r="G44" s="155" t="s">
        <v>42</v>
      </c>
      <c r="H44" s="187" t="s">
        <v>43</v>
      </c>
      <c r="I44" s="187" t="s">
        <v>72</v>
      </c>
      <c r="J44" s="209" t="s">
        <v>73</v>
      </c>
      <c r="K44" s="236">
        <v>0.88888888888888884</v>
      </c>
    </row>
    <row r="45" spans="1:12" s="63" customFormat="1" ht="108" hidden="1" customHeight="1" x14ac:dyDescent="0.25">
      <c r="A45" s="63" t="s">
        <v>62</v>
      </c>
      <c r="B45" s="63" t="s">
        <v>205</v>
      </c>
      <c r="C45" s="63" t="s">
        <v>341</v>
      </c>
      <c r="D45" s="63" t="s">
        <v>342</v>
      </c>
      <c r="E45" s="175" t="s">
        <v>343</v>
      </c>
      <c r="F45" s="175" t="s">
        <v>280</v>
      </c>
      <c r="G45" s="155" t="s">
        <v>42</v>
      </c>
      <c r="H45" s="176" t="s">
        <v>43</v>
      </c>
      <c r="I45" s="176" t="s">
        <v>72</v>
      </c>
      <c r="J45" s="212" t="s">
        <v>73</v>
      </c>
      <c r="K45" s="209">
        <v>1</v>
      </c>
    </row>
    <row r="46" spans="1:12" s="63" customFormat="1" ht="112.5" hidden="1" customHeight="1" x14ac:dyDescent="0.25">
      <c r="A46" s="63" t="s">
        <v>62</v>
      </c>
      <c r="B46" s="63" t="s">
        <v>205</v>
      </c>
      <c r="C46" s="63" t="s">
        <v>341</v>
      </c>
      <c r="D46" s="63" t="s">
        <v>347</v>
      </c>
      <c r="E46" s="175" t="s">
        <v>348</v>
      </c>
      <c r="F46" s="175" t="s">
        <v>280</v>
      </c>
      <c r="G46" s="155" t="s">
        <v>42</v>
      </c>
      <c r="H46" s="176" t="s">
        <v>43</v>
      </c>
      <c r="I46" s="176" t="s">
        <v>72</v>
      </c>
      <c r="J46" s="212" t="s">
        <v>73</v>
      </c>
      <c r="K46" s="209">
        <v>1</v>
      </c>
    </row>
    <row r="47" spans="1:12" s="4" customFormat="1" ht="38.25" hidden="1" x14ac:dyDescent="0.25">
      <c r="A47" s="63" t="s">
        <v>62</v>
      </c>
      <c r="B47" s="63" t="s">
        <v>205</v>
      </c>
      <c r="C47" s="63" t="s">
        <v>341</v>
      </c>
      <c r="D47" s="63" t="s">
        <v>353</v>
      </c>
      <c r="E47" s="175" t="s">
        <v>354</v>
      </c>
      <c r="F47" s="175" t="s">
        <v>280</v>
      </c>
      <c r="G47" s="155" t="s">
        <v>42</v>
      </c>
      <c r="H47" s="176" t="s">
        <v>43</v>
      </c>
      <c r="I47" s="176" t="s">
        <v>72</v>
      </c>
      <c r="J47" s="212" t="s">
        <v>73</v>
      </c>
      <c r="K47" s="209">
        <v>1</v>
      </c>
      <c r="L47" s="63"/>
    </row>
    <row r="48" spans="1:12" s="63" customFormat="1" ht="103.5" hidden="1" customHeight="1" x14ac:dyDescent="0.25">
      <c r="B48" s="63" t="s">
        <v>135</v>
      </c>
      <c r="C48" s="63" t="s">
        <v>358</v>
      </c>
      <c r="D48" s="138" t="s">
        <v>359</v>
      </c>
      <c r="E48" s="254" t="s">
        <v>360</v>
      </c>
      <c r="F48" s="150" t="s">
        <v>362</v>
      </c>
      <c r="G48" s="155" t="s">
        <v>42</v>
      </c>
      <c r="H48" s="155" t="s">
        <v>43</v>
      </c>
      <c r="I48" s="155" t="s">
        <v>50</v>
      </c>
      <c r="J48" s="253"/>
      <c r="K48" s="160"/>
    </row>
    <row r="49" spans="1:12" s="131" customFormat="1" ht="27.75" hidden="1" customHeight="1" x14ac:dyDescent="0.25">
      <c r="B49" s="131" t="s">
        <v>135</v>
      </c>
      <c r="C49" s="131" t="s">
        <v>299</v>
      </c>
      <c r="E49" s="238" t="s">
        <v>366</v>
      </c>
      <c r="F49" s="229" t="s">
        <v>368</v>
      </c>
      <c r="G49" s="155" t="s">
        <v>42</v>
      </c>
      <c r="H49" s="239" t="s">
        <v>369</v>
      </c>
      <c r="I49" s="227" t="s">
        <v>50</v>
      </c>
      <c r="J49" s="231"/>
      <c r="K49" s="230"/>
    </row>
    <row r="50" spans="1:12" s="63" customFormat="1" ht="98.25" hidden="1" customHeight="1" x14ac:dyDescent="0.25">
      <c r="A50" s="63" t="s">
        <v>62</v>
      </c>
      <c r="B50" s="63" t="s">
        <v>205</v>
      </c>
      <c r="C50" s="63" t="s">
        <v>341</v>
      </c>
      <c r="D50" s="63" t="s">
        <v>372</v>
      </c>
      <c r="E50" s="175" t="s">
        <v>373</v>
      </c>
      <c r="F50" s="175" t="s">
        <v>280</v>
      </c>
      <c r="G50" s="155" t="s">
        <v>42</v>
      </c>
      <c r="H50" s="176" t="s">
        <v>43</v>
      </c>
      <c r="I50" s="176" t="s">
        <v>72</v>
      </c>
      <c r="J50" s="212" t="s">
        <v>73</v>
      </c>
      <c r="K50" s="209">
        <v>1</v>
      </c>
      <c r="L50" s="4"/>
    </row>
    <row r="51" spans="1:12" s="63" customFormat="1" ht="98.25" hidden="1" customHeight="1" x14ac:dyDescent="0.25">
      <c r="A51" s="63" t="s">
        <v>62</v>
      </c>
      <c r="B51" s="63" t="s">
        <v>205</v>
      </c>
      <c r="C51" s="63" t="s">
        <v>341</v>
      </c>
      <c r="D51" s="63" t="s">
        <v>377</v>
      </c>
      <c r="E51" s="175" t="s">
        <v>378</v>
      </c>
      <c r="F51" s="175" t="s">
        <v>280</v>
      </c>
      <c r="G51" s="155" t="s">
        <v>42</v>
      </c>
      <c r="H51" s="176" t="s">
        <v>43</v>
      </c>
      <c r="I51" s="176" t="s">
        <v>72</v>
      </c>
      <c r="J51" s="279" t="s">
        <v>73</v>
      </c>
      <c r="K51" s="209">
        <v>1</v>
      </c>
    </row>
    <row r="52" spans="1:12" s="113" customFormat="1" ht="98.25" hidden="1" customHeight="1" x14ac:dyDescent="0.25">
      <c r="B52" s="113" t="s">
        <v>135</v>
      </c>
      <c r="C52" s="113" t="s">
        <v>382</v>
      </c>
      <c r="E52" s="256" t="s">
        <v>383</v>
      </c>
      <c r="F52" s="256" t="s">
        <v>385</v>
      </c>
      <c r="G52" s="155" t="s">
        <v>42</v>
      </c>
      <c r="H52" s="155" t="s">
        <v>43</v>
      </c>
      <c r="I52" s="257" t="s">
        <v>50</v>
      </c>
      <c r="J52" s="263"/>
      <c r="K52" s="262"/>
    </row>
    <row r="53" spans="1:12" s="113" customFormat="1" ht="98.25" hidden="1" customHeight="1" x14ac:dyDescent="0.25">
      <c r="B53" s="113" t="s">
        <v>135</v>
      </c>
      <c r="C53" s="113" t="s">
        <v>382</v>
      </c>
      <c r="E53" s="111" t="s">
        <v>389</v>
      </c>
      <c r="F53" s="111" t="s">
        <v>385</v>
      </c>
      <c r="G53" s="111" t="s">
        <v>83</v>
      </c>
      <c r="H53" s="5" t="s">
        <v>43</v>
      </c>
      <c r="I53" s="104" t="s">
        <v>50</v>
      </c>
      <c r="J53" s="119"/>
      <c r="K53" s="118"/>
    </row>
    <row r="54" spans="1:12" s="113" customFormat="1" ht="98.25" hidden="1" customHeight="1" x14ac:dyDescent="0.25">
      <c r="B54" s="113" t="s">
        <v>135</v>
      </c>
      <c r="C54" s="113" t="s">
        <v>382</v>
      </c>
      <c r="E54" s="111" t="s">
        <v>393</v>
      </c>
      <c r="F54" s="111" t="s">
        <v>385</v>
      </c>
      <c r="G54" s="111" t="s">
        <v>83</v>
      </c>
      <c r="H54" s="5" t="s">
        <v>43</v>
      </c>
      <c r="I54" s="104" t="s">
        <v>50</v>
      </c>
      <c r="J54" s="119"/>
      <c r="K54" s="118"/>
    </row>
    <row r="55" spans="1:12" s="113" customFormat="1" ht="68.25" hidden="1" customHeight="1" x14ac:dyDescent="0.25">
      <c r="B55" s="113" t="s">
        <v>135</v>
      </c>
      <c r="C55" s="113" t="s">
        <v>382</v>
      </c>
      <c r="D55" s="128"/>
      <c r="E55" s="104" t="s">
        <v>395</v>
      </c>
      <c r="F55" s="104" t="s">
        <v>385</v>
      </c>
      <c r="G55" s="104" t="s">
        <v>83</v>
      </c>
      <c r="H55" s="5" t="s">
        <v>43</v>
      </c>
      <c r="I55" s="104" t="s">
        <v>50</v>
      </c>
      <c r="J55" s="119"/>
      <c r="K55" s="118"/>
    </row>
    <row r="56" spans="1:12" s="113" customFormat="1" ht="68.25" hidden="1" customHeight="1" x14ac:dyDescent="0.25">
      <c r="B56" s="113" t="s">
        <v>135</v>
      </c>
      <c r="C56" s="113" t="s">
        <v>382</v>
      </c>
      <c r="E56" s="111" t="s">
        <v>397</v>
      </c>
      <c r="F56" s="111" t="s">
        <v>385</v>
      </c>
      <c r="G56" s="111" t="s">
        <v>83</v>
      </c>
      <c r="H56" s="5" t="s">
        <v>43</v>
      </c>
      <c r="I56" s="104" t="s">
        <v>50</v>
      </c>
      <c r="J56" s="119"/>
      <c r="K56" s="118"/>
    </row>
    <row r="57" spans="1:12" s="113" customFormat="1" ht="68.25" hidden="1" customHeight="1" x14ac:dyDescent="0.25">
      <c r="B57" s="113" t="s">
        <v>135</v>
      </c>
      <c r="C57" s="113" t="s">
        <v>382</v>
      </c>
      <c r="E57" s="111" t="s">
        <v>399</v>
      </c>
      <c r="F57" s="111" t="s">
        <v>385</v>
      </c>
      <c r="G57" s="111" t="s">
        <v>83</v>
      </c>
      <c r="H57" s="5" t="s">
        <v>43</v>
      </c>
      <c r="I57" s="104" t="s">
        <v>50</v>
      </c>
      <c r="J57" s="117"/>
      <c r="K57" s="117"/>
    </row>
    <row r="58" spans="1:12" s="113" customFormat="1" ht="68.25" hidden="1" customHeight="1" x14ac:dyDescent="0.25">
      <c r="B58" s="113" t="s">
        <v>135</v>
      </c>
      <c r="C58" s="113" t="s">
        <v>382</v>
      </c>
      <c r="E58" s="111" t="s">
        <v>403</v>
      </c>
      <c r="F58" s="111" t="s">
        <v>385</v>
      </c>
      <c r="G58" s="155" t="s">
        <v>42</v>
      </c>
      <c r="H58" s="1" t="s">
        <v>89</v>
      </c>
      <c r="I58" s="104" t="s">
        <v>50</v>
      </c>
      <c r="J58" s="118"/>
      <c r="K58" s="118"/>
    </row>
    <row r="59" spans="1:12" s="113" customFormat="1" ht="68.25" hidden="1" customHeight="1" x14ac:dyDescent="0.25">
      <c r="B59" s="113" t="s">
        <v>135</v>
      </c>
      <c r="C59" s="113" t="s">
        <v>382</v>
      </c>
      <c r="E59" s="111" t="s">
        <v>409</v>
      </c>
      <c r="F59" s="111" t="s">
        <v>385</v>
      </c>
      <c r="G59" s="155" t="s">
        <v>42</v>
      </c>
      <c r="H59" s="1" t="s">
        <v>89</v>
      </c>
      <c r="I59" s="104" t="s">
        <v>50</v>
      </c>
      <c r="J59" s="119"/>
      <c r="K59" s="118"/>
    </row>
    <row r="60" spans="1:12" s="113" customFormat="1" ht="93" hidden="1" customHeight="1" x14ac:dyDescent="0.25">
      <c r="B60" s="113" t="s">
        <v>135</v>
      </c>
      <c r="C60" s="113" t="s">
        <v>382</v>
      </c>
      <c r="E60" s="111" t="s">
        <v>413</v>
      </c>
      <c r="F60" s="111" t="s">
        <v>385</v>
      </c>
      <c r="G60" s="155" t="s">
        <v>42</v>
      </c>
      <c r="H60" s="1" t="s">
        <v>89</v>
      </c>
      <c r="I60" s="104" t="s">
        <v>50</v>
      </c>
      <c r="J60" s="118"/>
      <c r="K60" s="118"/>
    </row>
    <row r="61" spans="1:12" s="113" customFormat="1" ht="104.25" hidden="1" customHeight="1" x14ac:dyDescent="0.25">
      <c r="B61" s="113" t="s">
        <v>135</v>
      </c>
      <c r="C61" s="113" t="s">
        <v>382</v>
      </c>
      <c r="E61" s="111" t="s">
        <v>419</v>
      </c>
      <c r="F61" s="111" t="s">
        <v>385</v>
      </c>
      <c r="G61" s="155" t="s">
        <v>42</v>
      </c>
      <c r="H61" s="5" t="s">
        <v>43</v>
      </c>
      <c r="I61" s="104" t="s">
        <v>50</v>
      </c>
      <c r="J61" s="119"/>
      <c r="K61" s="125"/>
    </row>
    <row r="62" spans="1:12" s="113" customFormat="1" ht="77.25" hidden="1" customHeight="1" x14ac:dyDescent="0.25">
      <c r="B62" s="113" t="s">
        <v>135</v>
      </c>
      <c r="C62" s="113" t="s">
        <v>382</v>
      </c>
      <c r="E62" s="111" t="s">
        <v>423</v>
      </c>
      <c r="F62" s="111" t="s">
        <v>385</v>
      </c>
      <c r="G62" s="155" t="s">
        <v>42</v>
      </c>
      <c r="H62" s="5" t="s">
        <v>43</v>
      </c>
      <c r="I62" s="104" t="s">
        <v>50</v>
      </c>
      <c r="J62" s="119"/>
      <c r="K62" s="118"/>
    </row>
    <row r="63" spans="1:12" s="113" customFormat="1" ht="77.25" hidden="1" customHeight="1" x14ac:dyDescent="0.25">
      <c r="B63" s="113" t="s">
        <v>135</v>
      </c>
      <c r="C63" s="113" t="s">
        <v>382</v>
      </c>
      <c r="E63" s="111" t="s">
        <v>425</v>
      </c>
      <c r="F63" s="111" t="s">
        <v>385</v>
      </c>
      <c r="G63" s="155" t="s">
        <v>42</v>
      </c>
      <c r="H63" s="5" t="s">
        <v>43</v>
      </c>
      <c r="I63" s="104" t="s">
        <v>50</v>
      </c>
      <c r="J63" s="119"/>
      <c r="K63" s="117"/>
    </row>
    <row r="64" spans="1:12" s="113" customFormat="1" ht="77.25" hidden="1" customHeight="1" x14ac:dyDescent="0.25">
      <c r="B64" s="113" t="s">
        <v>135</v>
      </c>
      <c r="C64" s="113" t="s">
        <v>382</v>
      </c>
      <c r="E64" s="111" t="s">
        <v>427</v>
      </c>
      <c r="F64" s="111" t="s">
        <v>385</v>
      </c>
      <c r="G64" s="155" t="s">
        <v>42</v>
      </c>
      <c r="H64" s="5" t="s">
        <v>43</v>
      </c>
      <c r="I64" s="104" t="s">
        <v>50</v>
      </c>
      <c r="J64" s="119"/>
      <c r="K64" s="117"/>
    </row>
    <row r="65" spans="1:12" s="113" customFormat="1" ht="77.25" hidden="1" customHeight="1" x14ac:dyDescent="0.25">
      <c r="B65" s="113" t="s">
        <v>135</v>
      </c>
      <c r="C65" s="113" t="s">
        <v>382</v>
      </c>
      <c r="E65" s="111" t="s">
        <v>429</v>
      </c>
      <c r="F65" s="111" t="s">
        <v>385</v>
      </c>
      <c r="G65" s="155" t="s">
        <v>42</v>
      </c>
      <c r="H65" s="5" t="s">
        <v>43</v>
      </c>
      <c r="I65" s="104" t="s">
        <v>50</v>
      </c>
      <c r="J65" s="119"/>
      <c r="K65" s="117"/>
    </row>
    <row r="66" spans="1:12" s="113" customFormat="1" ht="30" hidden="1" customHeight="1" x14ac:dyDescent="0.25">
      <c r="B66" s="113" t="s">
        <v>135</v>
      </c>
      <c r="C66" s="113" t="s">
        <v>382</v>
      </c>
      <c r="E66" s="126" t="s">
        <v>431</v>
      </c>
      <c r="F66" s="126" t="s">
        <v>385</v>
      </c>
      <c r="G66" s="155" t="s">
        <v>42</v>
      </c>
      <c r="H66" s="187" t="s">
        <v>43</v>
      </c>
      <c r="I66" s="227" t="s">
        <v>50</v>
      </c>
      <c r="J66" s="233"/>
      <c r="K66" s="231"/>
    </row>
    <row r="67" spans="1:12" s="63" customFormat="1" ht="57.75" hidden="1" customHeight="1" x14ac:dyDescent="0.25">
      <c r="A67" s="63" t="s">
        <v>62</v>
      </c>
      <c r="B67" s="63" t="s">
        <v>205</v>
      </c>
      <c r="C67" s="63" t="s">
        <v>341</v>
      </c>
      <c r="D67" s="63" t="s">
        <v>433</v>
      </c>
      <c r="E67" s="175" t="s">
        <v>434</v>
      </c>
      <c r="F67" s="175" t="s">
        <v>280</v>
      </c>
      <c r="G67" s="155" t="s">
        <v>42</v>
      </c>
      <c r="H67" s="176" t="s">
        <v>43</v>
      </c>
      <c r="I67" s="176" t="s">
        <v>72</v>
      </c>
      <c r="J67" s="279" t="s">
        <v>73</v>
      </c>
      <c r="K67" s="209">
        <v>1</v>
      </c>
    </row>
    <row r="68" spans="1:12" s="63" customFormat="1" ht="69" hidden="1" customHeight="1" x14ac:dyDescent="0.25">
      <c r="A68" s="63" t="s">
        <v>62</v>
      </c>
      <c r="B68" s="63" t="s">
        <v>135</v>
      </c>
      <c r="C68" s="63" t="s">
        <v>382</v>
      </c>
      <c r="D68" s="63" t="s">
        <v>437</v>
      </c>
      <c r="E68" s="175" t="s">
        <v>438</v>
      </c>
      <c r="F68" s="175" t="s">
        <v>385</v>
      </c>
      <c r="G68" s="155" t="s">
        <v>42</v>
      </c>
      <c r="H68" s="176"/>
      <c r="I68" s="176" t="s">
        <v>72</v>
      </c>
      <c r="J68" s="211" t="s">
        <v>73</v>
      </c>
      <c r="K68" s="215">
        <v>59</v>
      </c>
    </row>
    <row r="69" spans="1:12" s="63" customFormat="1" ht="77.25" hidden="1" customHeight="1" x14ac:dyDescent="0.25">
      <c r="A69" s="63" t="s">
        <v>62</v>
      </c>
      <c r="B69" s="63" t="s">
        <v>135</v>
      </c>
      <c r="C69" s="63" t="s">
        <v>382</v>
      </c>
      <c r="D69" s="63" t="s">
        <v>442</v>
      </c>
      <c r="E69" s="175" t="s">
        <v>443</v>
      </c>
      <c r="F69" s="175" t="s">
        <v>385</v>
      </c>
      <c r="G69" s="175" t="s">
        <v>83</v>
      </c>
      <c r="H69" s="176" t="s">
        <v>43</v>
      </c>
      <c r="I69" s="176" t="s">
        <v>72</v>
      </c>
      <c r="J69" s="211" t="s">
        <v>73</v>
      </c>
      <c r="K69" s="210">
        <v>0.84322678843226784</v>
      </c>
    </row>
    <row r="70" spans="1:12" s="113" customFormat="1" ht="77.25" hidden="1" customHeight="1" x14ac:dyDescent="0.25">
      <c r="B70" s="113" t="s">
        <v>135</v>
      </c>
      <c r="C70" s="113" t="s">
        <v>382</v>
      </c>
      <c r="E70" s="202" t="s">
        <v>446</v>
      </c>
      <c r="F70" s="202" t="s">
        <v>385</v>
      </c>
      <c r="G70" s="202" t="s">
        <v>83</v>
      </c>
      <c r="H70" s="264" t="s">
        <v>43</v>
      </c>
      <c r="I70" s="243" t="s">
        <v>50</v>
      </c>
      <c r="J70" s="249"/>
      <c r="K70" s="247"/>
    </row>
    <row r="71" spans="1:12" s="63" customFormat="1" ht="77.25" hidden="1" customHeight="1" x14ac:dyDescent="0.25">
      <c r="A71" s="63" t="s">
        <v>62</v>
      </c>
      <c r="B71" s="63" t="s">
        <v>135</v>
      </c>
      <c r="C71" s="63" t="s">
        <v>382</v>
      </c>
      <c r="D71" s="63" t="s">
        <v>450</v>
      </c>
      <c r="E71" s="175" t="s">
        <v>451</v>
      </c>
      <c r="F71" s="175" t="s">
        <v>385</v>
      </c>
      <c r="G71" s="175" t="s">
        <v>141</v>
      </c>
      <c r="H71" s="176"/>
      <c r="I71" s="176" t="s">
        <v>72</v>
      </c>
      <c r="J71" s="211" t="s">
        <v>73</v>
      </c>
      <c r="K71" s="209">
        <v>0.32009999999999994</v>
      </c>
    </row>
    <row r="72" spans="1:12" s="113" customFormat="1" ht="77.25" hidden="1" customHeight="1" x14ac:dyDescent="0.25">
      <c r="B72" s="113" t="s">
        <v>135</v>
      </c>
      <c r="C72" s="113" t="s">
        <v>358</v>
      </c>
      <c r="E72" s="202" t="s">
        <v>457</v>
      </c>
      <c r="F72" s="202" t="s">
        <v>362</v>
      </c>
      <c r="G72" s="155" t="s">
        <v>42</v>
      </c>
      <c r="H72" s="264" t="s">
        <v>43</v>
      </c>
      <c r="I72" s="243" t="s">
        <v>50</v>
      </c>
      <c r="J72" s="249"/>
      <c r="K72" s="248"/>
    </row>
    <row r="73" spans="1:12" s="4" customFormat="1" ht="77.25" hidden="1" customHeight="1" x14ac:dyDescent="0.25">
      <c r="A73" s="63" t="s">
        <v>62</v>
      </c>
      <c r="B73" s="63" t="s">
        <v>205</v>
      </c>
      <c r="C73" s="63" t="s">
        <v>462</v>
      </c>
      <c r="D73" s="63" t="s">
        <v>463</v>
      </c>
      <c r="E73" s="175" t="s">
        <v>464</v>
      </c>
      <c r="F73" s="175" t="s">
        <v>466</v>
      </c>
      <c r="G73" s="155" t="s">
        <v>42</v>
      </c>
      <c r="H73" s="176" t="s">
        <v>43</v>
      </c>
      <c r="I73" s="176" t="s">
        <v>72</v>
      </c>
      <c r="J73" s="212" t="s">
        <v>73</v>
      </c>
      <c r="K73" s="209">
        <v>1</v>
      </c>
      <c r="L73" s="63"/>
    </row>
    <row r="74" spans="1:12" s="63" customFormat="1" ht="77.25" hidden="1" customHeight="1" x14ac:dyDescent="0.25">
      <c r="A74" s="63" t="s">
        <v>62</v>
      </c>
      <c r="B74" s="63" t="s">
        <v>205</v>
      </c>
      <c r="C74" s="63" t="s">
        <v>462</v>
      </c>
      <c r="D74" s="63" t="s">
        <v>470</v>
      </c>
      <c r="E74" s="175" t="s">
        <v>471</v>
      </c>
      <c r="F74" s="175" t="s">
        <v>466</v>
      </c>
      <c r="G74" s="155" t="s">
        <v>42</v>
      </c>
      <c r="H74" s="176" t="s">
        <v>43</v>
      </c>
      <c r="I74" s="176" t="s">
        <v>72</v>
      </c>
      <c r="J74" s="212" t="s">
        <v>73</v>
      </c>
      <c r="K74" s="209">
        <v>1</v>
      </c>
    </row>
    <row r="75" spans="1:12" s="113" customFormat="1" ht="29.25" hidden="1" customHeight="1" x14ac:dyDescent="0.25">
      <c r="B75" s="113" t="s">
        <v>135</v>
      </c>
      <c r="C75" s="113" t="s">
        <v>382</v>
      </c>
      <c r="E75" s="202" t="s">
        <v>476</v>
      </c>
      <c r="F75" s="202" t="s">
        <v>385</v>
      </c>
      <c r="G75" s="202" t="s">
        <v>83</v>
      </c>
      <c r="H75" s="179" t="s">
        <v>89</v>
      </c>
      <c r="I75" s="243" t="s">
        <v>50</v>
      </c>
      <c r="J75" s="247"/>
      <c r="K75" s="265"/>
    </row>
    <row r="76" spans="1:12" s="63" customFormat="1" ht="67.5" hidden="1" customHeight="1" x14ac:dyDescent="0.25">
      <c r="A76" s="4" t="s">
        <v>62</v>
      </c>
      <c r="B76" s="63" t="s">
        <v>205</v>
      </c>
      <c r="C76" s="63" t="s">
        <v>462</v>
      </c>
      <c r="D76" s="63" t="s">
        <v>480</v>
      </c>
      <c r="E76" s="175" t="s">
        <v>481</v>
      </c>
      <c r="F76" s="175" t="s">
        <v>466</v>
      </c>
      <c r="G76" s="175" t="s">
        <v>141</v>
      </c>
      <c r="H76" s="176" t="s">
        <v>43</v>
      </c>
      <c r="I76" s="176" t="s">
        <v>72</v>
      </c>
      <c r="J76" s="212" t="s">
        <v>73</v>
      </c>
      <c r="K76" s="210">
        <v>0.99556583767110085</v>
      </c>
      <c r="L76" s="4"/>
    </row>
    <row r="77" spans="1:12" s="63" customFormat="1" ht="71.25" hidden="1" customHeight="1" x14ac:dyDescent="0.25">
      <c r="A77" s="63" t="s">
        <v>62</v>
      </c>
      <c r="B77" s="63" t="s">
        <v>205</v>
      </c>
      <c r="C77" s="63" t="s">
        <v>462</v>
      </c>
      <c r="D77" s="63" t="s">
        <v>485</v>
      </c>
      <c r="E77" s="175" t="s">
        <v>486</v>
      </c>
      <c r="F77" s="175" t="s">
        <v>466</v>
      </c>
      <c r="G77" s="175" t="s">
        <v>141</v>
      </c>
      <c r="H77" s="176" t="s">
        <v>43</v>
      </c>
      <c r="I77" s="176" t="s">
        <v>72</v>
      </c>
      <c r="J77" s="212" t="s">
        <v>73</v>
      </c>
      <c r="K77" s="209">
        <v>1</v>
      </c>
    </row>
    <row r="78" spans="1:12" s="63" customFormat="1" ht="77.25" hidden="1" customHeight="1" x14ac:dyDescent="0.25">
      <c r="A78" s="281" t="s">
        <v>62</v>
      </c>
      <c r="B78" s="63" t="s">
        <v>205</v>
      </c>
      <c r="C78" s="63" t="s">
        <v>462</v>
      </c>
      <c r="D78" s="63" t="s">
        <v>491</v>
      </c>
      <c r="E78" s="175" t="s">
        <v>492</v>
      </c>
      <c r="F78" s="175" t="s">
        <v>466</v>
      </c>
      <c r="G78" s="175" t="s">
        <v>141</v>
      </c>
      <c r="H78" s="176" t="s">
        <v>43</v>
      </c>
      <c r="I78" s="176" t="s">
        <v>72</v>
      </c>
      <c r="J78" s="212" t="s">
        <v>73</v>
      </c>
      <c r="K78" s="209">
        <v>1</v>
      </c>
    </row>
    <row r="79" spans="1:12" s="63" customFormat="1" ht="77.25" customHeight="1" x14ac:dyDescent="0.25">
      <c r="A79" s="175" t="s">
        <v>62</v>
      </c>
      <c r="B79" s="176" t="s">
        <v>37</v>
      </c>
      <c r="C79" s="176" t="s">
        <v>38</v>
      </c>
      <c r="D79" s="176" t="s">
        <v>510</v>
      </c>
      <c r="E79" s="252" t="s">
        <v>61</v>
      </c>
      <c r="F79" s="150" t="s">
        <v>41</v>
      </c>
      <c r="G79" s="155" t="s">
        <v>42</v>
      </c>
      <c r="H79" s="155" t="s">
        <v>43</v>
      </c>
      <c r="I79" s="155" t="s">
        <v>72</v>
      </c>
      <c r="J79" s="212" t="s">
        <v>73</v>
      </c>
      <c r="K79" s="160">
        <v>1</v>
      </c>
    </row>
    <row r="80" spans="1:12" s="63" customFormat="1" ht="84.75" hidden="1" customHeight="1" x14ac:dyDescent="0.25">
      <c r="B80" s="63" t="s">
        <v>37</v>
      </c>
      <c r="C80" s="179" t="s">
        <v>38</v>
      </c>
      <c r="D80" s="63" t="s">
        <v>503</v>
      </c>
      <c r="E80" s="1" t="s">
        <v>504</v>
      </c>
      <c r="F80" s="1" t="s">
        <v>41</v>
      </c>
      <c r="G80" s="155" t="s">
        <v>42</v>
      </c>
      <c r="H80" s="1" t="s">
        <v>89</v>
      </c>
      <c r="I80" s="5" t="s">
        <v>50</v>
      </c>
      <c r="J80" s="271" t="s">
        <v>73</v>
      </c>
      <c r="K80" s="89" t="s">
        <v>1032</v>
      </c>
    </row>
    <row r="81" spans="1:12" s="63" customFormat="1" ht="84.75" customHeight="1" x14ac:dyDescent="0.25">
      <c r="A81" s="175" t="s">
        <v>62</v>
      </c>
      <c r="B81" s="176" t="s">
        <v>37</v>
      </c>
      <c r="C81" s="176" t="s">
        <v>38</v>
      </c>
      <c r="D81" s="176" t="s">
        <v>531</v>
      </c>
      <c r="E81" s="169" t="s">
        <v>532</v>
      </c>
      <c r="F81" s="1" t="s">
        <v>41</v>
      </c>
      <c r="G81" s="1" t="s">
        <v>141</v>
      </c>
      <c r="H81" s="1" t="s">
        <v>89</v>
      </c>
      <c r="I81" s="5" t="s">
        <v>72</v>
      </c>
      <c r="J81" s="212" t="s">
        <v>73</v>
      </c>
      <c r="K81" s="93">
        <v>5.857938718662953</v>
      </c>
    </row>
    <row r="82" spans="1:12" s="63" customFormat="1" ht="51.75" customHeight="1" x14ac:dyDescent="0.25">
      <c r="A82" s="282" t="s">
        <v>62</v>
      </c>
      <c r="B82" s="181" t="s">
        <v>37</v>
      </c>
      <c r="C82" s="181" t="s">
        <v>38</v>
      </c>
      <c r="D82" s="181" t="s">
        <v>525</v>
      </c>
      <c r="E82" s="182" t="s">
        <v>526</v>
      </c>
      <c r="F82" s="1" t="s">
        <v>41</v>
      </c>
      <c r="G82" s="155" t="s">
        <v>42</v>
      </c>
      <c r="H82" s="5" t="s">
        <v>43</v>
      </c>
      <c r="I82" s="5" t="s">
        <v>72</v>
      </c>
      <c r="J82" s="272" t="s">
        <v>73</v>
      </c>
      <c r="K82" s="89">
        <v>1</v>
      </c>
    </row>
    <row r="83" spans="1:12" s="63" customFormat="1" ht="74.25" customHeight="1" x14ac:dyDescent="0.25">
      <c r="A83" s="175" t="s">
        <v>62</v>
      </c>
      <c r="B83" s="176" t="s">
        <v>37</v>
      </c>
      <c r="C83" s="176" t="s">
        <v>38</v>
      </c>
      <c r="D83" s="176" t="s">
        <v>520</v>
      </c>
      <c r="E83" s="180" t="s">
        <v>521</v>
      </c>
      <c r="F83" s="1" t="s">
        <v>41</v>
      </c>
      <c r="G83" s="155" t="s">
        <v>42</v>
      </c>
      <c r="H83" s="5" t="s">
        <v>43</v>
      </c>
      <c r="I83" s="5" t="s">
        <v>72</v>
      </c>
      <c r="J83" s="194" t="s">
        <v>73</v>
      </c>
      <c r="K83" s="89">
        <v>1</v>
      </c>
    </row>
    <row r="84" spans="1:12" s="4" customFormat="1" ht="69" customHeight="1" x14ac:dyDescent="0.25">
      <c r="A84" s="178" t="s">
        <v>62</v>
      </c>
      <c r="B84" s="178" t="s">
        <v>37</v>
      </c>
      <c r="C84" s="178" t="s">
        <v>38</v>
      </c>
      <c r="D84" s="178" t="s">
        <v>497</v>
      </c>
      <c r="E84" s="183" t="s">
        <v>498</v>
      </c>
      <c r="F84" s="1" t="s">
        <v>41</v>
      </c>
      <c r="G84" s="5" t="s">
        <v>83</v>
      </c>
      <c r="H84" s="5" t="s">
        <v>43</v>
      </c>
      <c r="I84" s="5" t="s">
        <v>72</v>
      </c>
      <c r="J84" s="194" t="s">
        <v>73</v>
      </c>
      <c r="K84" s="89">
        <v>1</v>
      </c>
    </row>
    <row r="85" spans="1:12" s="63" customFormat="1" ht="58.5" customHeight="1" x14ac:dyDescent="0.25">
      <c r="A85" s="177" t="s">
        <v>62</v>
      </c>
      <c r="B85" s="178" t="s">
        <v>37</v>
      </c>
      <c r="C85" s="178" t="s">
        <v>38</v>
      </c>
      <c r="D85" s="178" t="s">
        <v>515</v>
      </c>
      <c r="E85" s="240" t="s">
        <v>516</v>
      </c>
      <c r="F85" s="192" t="s">
        <v>41</v>
      </c>
      <c r="G85" s="187" t="s">
        <v>141</v>
      </c>
      <c r="H85" s="187" t="s">
        <v>43</v>
      </c>
      <c r="I85" s="187" t="s">
        <v>72</v>
      </c>
      <c r="J85" s="273" t="s">
        <v>73</v>
      </c>
      <c r="K85" s="184">
        <v>0.99120807554542489</v>
      </c>
    </row>
    <row r="86" spans="1:12" s="63" customFormat="1" ht="130.5" hidden="1" customHeight="1" x14ac:dyDescent="0.25">
      <c r="A86" s="3" t="s">
        <v>62</v>
      </c>
      <c r="B86" s="4" t="s">
        <v>205</v>
      </c>
      <c r="C86" s="63" t="s">
        <v>538</v>
      </c>
      <c r="D86" s="4" t="s">
        <v>539</v>
      </c>
      <c r="E86" s="175" t="s">
        <v>540</v>
      </c>
      <c r="F86" s="175" t="s">
        <v>210</v>
      </c>
      <c r="G86" s="155" t="s">
        <v>42</v>
      </c>
      <c r="H86" s="176" t="s">
        <v>43</v>
      </c>
      <c r="I86" s="176" t="s">
        <v>72</v>
      </c>
      <c r="J86" s="210" t="s">
        <v>73</v>
      </c>
      <c r="K86" s="213">
        <v>1</v>
      </c>
      <c r="L86" s="3"/>
    </row>
    <row r="87" spans="1:12" s="113" customFormat="1" ht="29.25" hidden="1" customHeight="1" x14ac:dyDescent="0.25">
      <c r="B87" s="113" t="s">
        <v>135</v>
      </c>
      <c r="C87" s="113" t="s">
        <v>358</v>
      </c>
      <c r="E87" s="256" t="s">
        <v>544</v>
      </c>
      <c r="F87" s="256" t="s">
        <v>362</v>
      </c>
      <c r="G87" s="155" t="s">
        <v>42</v>
      </c>
      <c r="H87" s="150" t="s">
        <v>369</v>
      </c>
      <c r="I87" s="257" t="s">
        <v>50</v>
      </c>
      <c r="J87" s="261"/>
      <c r="K87" s="266"/>
    </row>
    <row r="88" spans="1:12" s="63" customFormat="1" ht="93" hidden="1" customHeight="1" x14ac:dyDescent="0.25">
      <c r="A88" s="63" t="s">
        <v>62</v>
      </c>
      <c r="B88" s="63" t="s">
        <v>160</v>
      </c>
      <c r="C88" s="63" t="s">
        <v>184</v>
      </c>
      <c r="E88" s="192" t="s">
        <v>548</v>
      </c>
      <c r="F88" s="192" t="s">
        <v>550</v>
      </c>
      <c r="G88" s="192" t="s">
        <v>141</v>
      </c>
      <c r="H88" s="187" t="s">
        <v>43</v>
      </c>
      <c r="I88" s="187" t="s">
        <v>50</v>
      </c>
      <c r="J88" s="241" t="s">
        <v>73</v>
      </c>
      <c r="K88" s="225">
        <v>1</v>
      </c>
    </row>
    <row r="89" spans="1:12" s="63" customFormat="1" ht="80.25" hidden="1" customHeight="1" x14ac:dyDescent="0.25">
      <c r="A89" s="63" t="s">
        <v>62</v>
      </c>
      <c r="B89" s="4" t="s">
        <v>205</v>
      </c>
      <c r="C89" s="4" t="s">
        <v>538</v>
      </c>
      <c r="D89" s="4" t="s">
        <v>554</v>
      </c>
      <c r="E89" s="176" t="s">
        <v>555</v>
      </c>
      <c r="F89" s="176" t="s">
        <v>210</v>
      </c>
      <c r="G89" s="176" t="s">
        <v>141</v>
      </c>
      <c r="H89" s="176" t="s">
        <v>43</v>
      </c>
      <c r="I89" s="176" t="s">
        <v>72</v>
      </c>
      <c r="J89" s="209" t="s">
        <v>559</v>
      </c>
      <c r="K89" s="210">
        <v>1</v>
      </c>
    </row>
    <row r="90" spans="1:12" s="63" customFormat="1" ht="38.25" x14ac:dyDescent="0.25">
      <c r="A90" s="63" t="s">
        <v>62</v>
      </c>
      <c r="B90" s="63" t="s">
        <v>37</v>
      </c>
      <c r="C90" s="63" t="s">
        <v>1033</v>
      </c>
      <c r="D90" s="63" t="s">
        <v>562</v>
      </c>
      <c r="E90" s="175" t="s">
        <v>563</v>
      </c>
      <c r="F90" s="175" t="s">
        <v>257</v>
      </c>
      <c r="G90" s="155" t="s">
        <v>42</v>
      </c>
      <c r="H90" s="176" t="s">
        <v>43</v>
      </c>
      <c r="I90" s="176" t="s">
        <v>72</v>
      </c>
      <c r="J90" s="212" t="s">
        <v>73</v>
      </c>
      <c r="K90" s="210">
        <v>0.99510290204229457</v>
      </c>
    </row>
    <row r="91" spans="1:12" s="63" customFormat="1" ht="38.25" x14ac:dyDescent="0.25">
      <c r="A91" s="63" t="s">
        <v>62</v>
      </c>
      <c r="B91" s="63" t="s">
        <v>37</v>
      </c>
      <c r="C91" s="63" t="s">
        <v>1033</v>
      </c>
      <c r="D91" s="63" t="s">
        <v>568</v>
      </c>
      <c r="E91" s="175" t="s">
        <v>569</v>
      </c>
      <c r="F91" s="175" t="s">
        <v>257</v>
      </c>
      <c r="G91" s="175" t="s">
        <v>141</v>
      </c>
      <c r="H91" s="190" t="s">
        <v>89</v>
      </c>
      <c r="I91" s="176" t="s">
        <v>72</v>
      </c>
      <c r="J91" s="212" t="s">
        <v>73</v>
      </c>
      <c r="K91" s="210">
        <v>1.9367283950617283E-3</v>
      </c>
    </row>
    <row r="92" spans="1:12" s="4" customFormat="1" ht="80.25" hidden="1" customHeight="1" thickBot="1" x14ac:dyDescent="0.3">
      <c r="A92" s="176" t="s">
        <v>62</v>
      </c>
      <c r="B92" s="176" t="s">
        <v>135</v>
      </c>
      <c r="C92" s="176" t="s">
        <v>358</v>
      </c>
      <c r="D92" s="176" t="s">
        <v>574</v>
      </c>
      <c r="E92" s="250" t="s">
        <v>575</v>
      </c>
      <c r="F92" s="155" t="s">
        <v>362</v>
      </c>
      <c r="G92" s="155" t="s">
        <v>141</v>
      </c>
      <c r="H92" s="267" t="s">
        <v>43</v>
      </c>
      <c r="I92" s="155" t="s">
        <v>72</v>
      </c>
      <c r="J92" s="268" t="s">
        <v>73</v>
      </c>
      <c r="K92" s="160">
        <v>1</v>
      </c>
    </row>
    <row r="93" spans="1:12" s="4" customFormat="1" ht="80.25" hidden="1" customHeight="1" x14ac:dyDescent="0.25">
      <c r="A93" s="283" t="s">
        <v>62</v>
      </c>
      <c r="B93" s="178" t="s">
        <v>135</v>
      </c>
      <c r="C93" s="178" t="s">
        <v>358</v>
      </c>
      <c r="D93" s="178" t="s">
        <v>580</v>
      </c>
      <c r="E93" s="234" t="s">
        <v>581</v>
      </c>
      <c r="F93" s="187" t="s">
        <v>362</v>
      </c>
      <c r="G93" s="155" t="s">
        <v>42</v>
      </c>
      <c r="H93" s="187" t="s">
        <v>43</v>
      </c>
      <c r="I93" s="187" t="s">
        <v>72</v>
      </c>
      <c r="J93" s="242" t="s">
        <v>73</v>
      </c>
      <c r="K93" s="184">
        <v>0.875</v>
      </c>
    </row>
    <row r="94" spans="1:12" s="63" customFormat="1" ht="38.25" hidden="1" x14ac:dyDescent="0.25">
      <c r="A94" s="174" t="s">
        <v>1034</v>
      </c>
      <c r="B94" s="63" t="s">
        <v>135</v>
      </c>
      <c r="C94" s="63" t="s">
        <v>586</v>
      </c>
      <c r="D94" s="63" t="s">
        <v>587</v>
      </c>
      <c r="E94" s="175" t="s">
        <v>588</v>
      </c>
      <c r="F94" s="175" t="s">
        <v>179</v>
      </c>
      <c r="G94" s="155" t="s">
        <v>42</v>
      </c>
      <c r="H94" s="176" t="s">
        <v>43</v>
      </c>
      <c r="I94" s="176" t="s">
        <v>72</v>
      </c>
      <c r="J94" s="212" t="s">
        <v>73</v>
      </c>
      <c r="K94" s="209">
        <v>1</v>
      </c>
    </row>
    <row r="96" spans="1:12" ht="13.5" thickBot="1" x14ac:dyDescent="0.3"/>
    <row r="97" spans="5:11" ht="60" customHeight="1" thickBot="1" x14ac:dyDescent="0.3">
      <c r="E97" s="274"/>
      <c r="F97" s="275"/>
      <c r="G97" s="276"/>
      <c r="H97" s="276"/>
      <c r="I97" s="276"/>
      <c r="J97" s="276"/>
      <c r="K97" s="276"/>
    </row>
  </sheetData>
  <autoFilter ref="A2:L94" xr:uid="{00000000-0009-0000-0000-000006000000}">
    <filterColumn colId="1">
      <filters>
        <filter val="Misional"/>
      </filters>
    </filterColumn>
    <filterColumn colId="8">
      <filters>
        <filter val="Activo"/>
      </filters>
    </filterColumn>
  </autoFilter>
  <conditionalFormatting sqref="J1:J1048576">
    <cfRule type="cellIs" dxfId="2" priority="1" operator="equal">
      <formula>"En alerta"</formula>
    </cfRule>
    <cfRule type="cellIs" dxfId="1" priority="2" operator="equal">
      <formula>"En ejecución"</formula>
    </cfRule>
    <cfRule type="cellIs" dxfId="0" priority="3" operator="equal">
      <formula>"En cumplimiento"</formula>
    </cfRule>
  </conditionalFormatting>
  <pageMargins left="0.7" right="0.7" top="0.75" bottom="0.75" header="0.3" footer="0.3"/>
  <pageSetup scale="79" orientation="portrait" r:id="rId1"/>
  <rowBreaks count="1" manualBreakCount="1">
    <brk id="13"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7:G37"/>
  <sheetViews>
    <sheetView workbookViewId="0">
      <selection activeCell="E37" sqref="E37"/>
    </sheetView>
  </sheetViews>
  <sheetFormatPr baseColWidth="10" defaultColWidth="11.42578125" defaultRowHeight="15" x14ac:dyDescent="0.25"/>
  <cols>
    <col min="3" max="3" width="92.7109375" bestFit="1" customWidth="1"/>
    <col min="4" max="4" width="22.42578125" customWidth="1"/>
    <col min="5" max="5" width="12.140625" bestFit="1" customWidth="1"/>
    <col min="6" max="6" width="11" bestFit="1" customWidth="1"/>
    <col min="7" max="7" width="12.5703125" bestFit="1" customWidth="1"/>
    <col min="8" max="12" width="12" customWidth="1"/>
    <col min="13" max="13" width="2" customWidth="1"/>
    <col min="14" max="14" width="12" bestFit="1" customWidth="1"/>
    <col min="15" max="17" width="3" customWidth="1"/>
    <col min="18" max="18" width="21" bestFit="1" customWidth="1"/>
    <col min="19" max="19" width="12.85546875" bestFit="1" customWidth="1"/>
    <col min="20" max="20" width="15.85546875" bestFit="1" customWidth="1"/>
    <col min="21" max="21" width="12.5703125" bestFit="1" customWidth="1"/>
  </cols>
  <sheetData>
    <row r="7" spans="3:7" x14ac:dyDescent="0.25">
      <c r="C7" s="284" t="s">
        <v>15</v>
      </c>
      <c r="D7" t="s">
        <v>72</v>
      </c>
    </row>
    <row r="8" spans="3:7" x14ac:dyDescent="0.25">
      <c r="C8" s="284" t="s">
        <v>3</v>
      </c>
      <c r="D8" t="s">
        <v>1035</v>
      </c>
    </row>
    <row r="10" spans="3:7" x14ac:dyDescent="0.25">
      <c r="C10" s="284" t="s">
        <v>1036</v>
      </c>
      <c r="D10" s="284" t="s">
        <v>1037</v>
      </c>
    </row>
    <row r="11" spans="3:7" x14ac:dyDescent="0.25">
      <c r="C11" s="284" t="s">
        <v>1038</v>
      </c>
      <c r="D11" t="s">
        <v>73</v>
      </c>
      <c r="E11" t="s">
        <v>214</v>
      </c>
      <c r="F11" t="s">
        <v>1039</v>
      </c>
      <c r="G11" t="s">
        <v>1040</v>
      </c>
    </row>
    <row r="12" spans="3:7" x14ac:dyDescent="0.25">
      <c r="C12" s="285" t="s">
        <v>63</v>
      </c>
      <c r="D12">
        <v>6</v>
      </c>
      <c r="G12">
        <v>6</v>
      </c>
    </row>
    <row r="13" spans="3:7" x14ac:dyDescent="0.25">
      <c r="C13" s="285" t="s">
        <v>126</v>
      </c>
      <c r="D13">
        <v>1</v>
      </c>
      <c r="G13">
        <v>1</v>
      </c>
    </row>
    <row r="14" spans="3:7" x14ac:dyDescent="0.25">
      <c r="C14" s="285" t="s">
        <v>136</v>
      </c>
      <c r="D14">
        <v>3</v>
      </c>
      <c r="G14">
        <v>3</v>
      </c>
    </row>
    <row r="15" spans="3:7" x14ac:dyDescent="0.25">
      <c r="C15" s="285" t="s">
        <v>161</v>
      </c>
      <c r="D15">
        <v>2</v>
      </c>
      <c r="G15">
        <v>2</v>
      </c>
    </row>
    <row r="16" spans="3:7" x14ac:dyDescent="0.25">
      <c r="C16" s="285" t="s">
        <v>175</v>
      </c>
      <c r="D16">
        <v>1</v>
      </c>
      <c r="G16">
        <v>1</v>
      </c>
    </row>
    <row r="17" spans="3:7" x14ac:dyDescent="0.25">
      <c r="C17" s="285" t="s">
        <v>184</v>
      </c>
      <c r="D17">
        <v>1</v>
      </c>
      <c r="G17">
        <v>1</v>
      </c>
    </row>
    <row r="18" spans="3:7" x14ac:dyDescent="0.25">
      <c r="C18" s="285" t="s">
        <v>191</v>
      </c>
      <c r="D18">
        <v>1</v>
      </c>
      <c r="G18">
        <v>1</v>
      </c>
    </row>
    <row r="19" spans="3:7" x14ac:dyDescent="0.25">
      <c r="C19" s="285" t="s">
        <v>206</v>
      </c>
      <c r="D19">
        <v>3</v>
      </c>
      <c r="E19">
        <v>1</v>
      </c>
      <c r="G19">
        <v>4</v>
      </c>
    </row>
    <row r="20" spans="3:7" x14ac:dyDescent="0.25">
      <c r="C20" s="285" t="s">
        <v>232</v>
      </c>
      <c r="D20">
        <v>3</v>
      </c>
      <c r="G20">
        <v>3</v>
      </c>
    </row>
    <row r="21" spans="3:7" x14ac:dyDescent="0.25">
      <c r="C21" s="285" t="s">
        <v>53</v>
      </c>
      <c r="D21">
        <v>2</v>
      </c>
      <c r="G21">
        <v>2</v>
      </c>
    </row>
    <row r="22" spans="3:7" x14ac:dyDescent="0.25">
      <c r="C22" s="285" t="s">
        <v>276</v>
      </c>
      <c r="D22">
        <v>2</v>
      </c>
      <c r="G22">
        <v>2</v>
      </c>
    </row>
    <row r="23" spans="3:7" x14ac:dyDescent="0.25">
      <c r="C23" s="285" t="s">
        <v>290</v>
      </c>
      <c r="D23">
        <v>1</v>
      </c>
      <c r="G23">
        <v>1</v>
      </c>
    </row>
    <row r="24" spans="3:7" x14ac:dyDescent="0.25">
      <c r="C24" s="285" t="s">
        <v>299</v>
      </c>
      <c r="D24">
        <v>6</v>
      </c>
      <c r="G24">
        <v>6</v>
      </c>
    </row>
    <row r="25" spans="3:7" x14ac:dyDescent="0.25">
      <c r="C25" s="285" t="s">
        <v>586</v>
      </c>
      <c r="D25">
        <v>1</v>
      </c>
      <c r="G25">
        <v>1</v>
      </c>
    </row>
    <row r="26" spans="3:7" x14ac:dyDescent="0.25">
      <c r="C26" s="285" t="s">
        <v>341</v>
      </c>
      <c r="D26">
        <v>6</v>
      </c>
      <c r="G26">
        <v>6</v>
      </c>
    </row>
    <row r="27" spans="3:7" x14ac:dyDescent="0.25">
      <c r="C27" s="285" t="s">
        <v>382</v>
      </c>
      <c r="D27">
        <v>3</v>
      </c>
      <c r="G27">
        <v>3</v>
      </c>
    </row>
    <row r="28" spans="3:7" x14ac:dyDescent="0.25">
      <c r="C28" s="285" t="s">
        <v>462</v>
      </c>
      <c r="D28">
        <v>5</v>
      </c>
      <c r="G28">
        <v>5</v>
      </c>
    </row>
    <row r="29" spans="3:7" x14ac:dyDescent="0.25">
      <c r="C29" s="285" t="s">
        <v>38</v>
      </c>
      <c r="D29">
        <v>6</v>
      </c>
      <c r="G29">
        <v>6</v>
      </c>
    </row>
    <row r="30" spans="3:7" x14ac:dyDescent="0.25">
      <c r="C30" s="285" t="s">
        <v>538</v>
      </c>
      <c r="D30">
        <v>2</v>
      </c>
      <c r="G30">
        <v>2</v>
      </c>
    </row>
    <row r="31" spans="3:7" x14ac:dyDescent="0.25">
      <c r="C31" s="285" t="s">
        <v>1033</v>
      </c>
      <c r="D31">
        <v>2</v>
      </c>
      <c r="G31">
        <v>2</v>
      </c>
    </row>
    <row r="32" spans="3:7" x14ac:dyDescent="0.25">
      <c r="C32" s="285" t="s">
        <v>358</v>
      </c>
      <c r="D32">
        <v>2</v>
      </c>
      <c r="G32">
        <v>2</v>
      </c>
    </row>
    <row r="33" spans="3:7" x14ac:dyDescent="0.25">
      <c r="C33" s="285" t="s">
        <v>1040</v>
      </c>
      <c r="D33">
        <v>59</v>
      </c>
      <c r="E33">
        <v>1</v>
      </c>
      <c r="G33">
        <v>60</v>
      </c>
    </row>
    <row r="37" spans="3:7" x14ac:dyDescent="0.25">
      <c r="E37" s="293">
        <f>GETPIVOTDATA("Resultado Acumulado
",$C$10,"Resultado Acumulado
","En cumplimiento")/GETPIVOTDATA("Resultado Acumulado
",$C$10)</f>
        <v>0.98333333333333328</v>
      </c>
    </row>
  </sheetData>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20:L43"/>
  <sheetViews>
    <sheetView topLeftCell="A26" workbookViewId="0">
      <selection activeCell="F43" sqref="F43:I43"/>
    </sheetView>
  </sheetViews>
  <sheetFormatPr baseColWidth="10" defaultColWidth="11.42578125" defaultRowHeight="15" x14ac:dyDescent="0.25"/>
  <cols>
    <col min="4" max="4" width="16.42578125" customWidth="1"/>
    <col min="5" max="5" width="23.28515625" customWidth="1"/>
    <col min="6" max="6" width="11.5703125" customWidth="1"/>
    <col min="7" max="7" width="10.7109375" customWidth="1"/>
    <col min="8" max="8" width="10.85546875" customWidth="1"/>
  </cols>
  <sheetData>
    <row r="20" spans="4:12" ht="24.75" customHeight="1" x14ac:dyDescent="0.25">
      <c r="D20" s="287" t="s">
        <v>1041</v>
      </c>
      <c r="E20" s="288" t="s">
        <v>1042</v>
      </c>
      <c r="F20" s="288" t="s">
        <v>149</v>
      </c>
      <c r="G20" s="288" t="s">
        <v>83</v>
      </c>
      <c r="H20" s="288" t="s">
        <v>42</v>
      </c>
      <c r="I20" s="288" t="s">
        <v>141</v>
      </c>
    </row>
    <row r="21" spans="4:12" x14ac:dyDescent="0.25">
      <c r="D21" s="356" t="s">
        <v>600</v>
      </c>
      <c r="E21" s="291" t="s">
        <v>206</v>
      </c>
      <c r="F21" s="289"/>
      <c r="G21" s="289"/>
      <c r="H21" s="289">
        <v>4</v>
      </c>
      <c r="I21" s="289"/>
    </row>
    <row r="22" spans="4:12" ht="38.25" x14ac:dyDescent="0.25">
      <c r="D22" s="356"/>
      <c r="E22" s="291" t="s">
        <v>276</v>
      </c>
      <c r="F22" s="289"/>
      <c r="G22" s="289"/>
      <c r="H22" s="289">
        <v>2</v>
      </c>
      <c r="I22" s="289"/>
    </row>
    <row r="23" spans="4:12" ht="26.25" customHeight="1" x14ac:dyDescent="0.25">
      <c r="D23" s="356"/>
      <c r="E23" s="291" t="s">
        <v>341</v>
      </c>
      <c r="F23" s="289"/>
      <c r="G23" s="289"/>
      <c r="H23" s="289">
        <v>6</v>
      </c>
      <c r="I23" s="289"/>
    </row>
    <row r="24" spans="4:12" x14ac:dyDescent="0.25">
      <c r="D24" s="356"/>
      <c r="E24" s="291" t="s">
        <v>462</v>
      </c>
      <c r="F24" s="289"/>
      <c r="G24" s="289"/>
      <c r="H24" s="289">
        <v>2</v>
      </c>
      <c r="I24" s="289">
        <v>3</v>
      </c>
    </row>
    <row r="25" spans="4:12" x14ac:dyDescent="0.25">
      <c r="D25" s="356"/>
      <c r="E25" s="291" t="s">
        <v>538</v>
      </c>
      <c r="F25" s="289"/>
      <c r="G25" s="289"/>
      <c r="H25" s="289">
        <v>1</v>
      </c>
      <c r="I25" s="289">
        <v>1</v>
      </c>
    </row>
    <row r="26" spans="4:12" ht="39" customHeight="1" x14ac:dyDescent="0.25">
      <c r="D26" s="356" t="s">
        <v>606</v>
      </c>
      <c r="E26" s="291" t="s">
        <v>161</v>
      </c>
      <c r="F26" s="289"/>
      <c r="G26" s="289"/>
      <c r="H26" s="289">
        <v>2</v>
      </c>
      <c r="I26" s="289"/>
    </row>
    <row r="27" spans="4:12" ht="25.5" x14ac:dyDescent="0.25">
      <c r="D27" s="356"/>
      <c r="E27" s="291" t="s">
        <v>184</v>
      </c>
      <c r="F27" s="289"/>
      <c r="G27" s="289"/>
      <c r="H27" s="289">
        <v>1</v>
      </c>
      <c r="I27" s="289"/>
    </row>
    <row r="28" spans="4:12" ht="25.5" x14ac:dyDescent="0.25">
      <c r="D28" s="357" t="s">
        <v>1043</v>
      </c>
      <c r="E28" s="291" t="s">
        <v>136</v>
      </c>
      <c r="F28" s="289">
        <v>1</v>
      </c>
      <c r="G28" s="289">
        <v>1</v>
      </c>
      <c r="H28" s="289"/>
      <c r="I28" s="289">
        <v>1</v>
      </c>
    </row>
    <row r="29" spans="4:12" ht="25.5" x14ac:dyDescent="0.25">
      <c r="D29" s="358"/>
      <c r="E29" s="291" t="s">
        <v>175</v>
      </c>
      <c r="F29" s="289"/>
      <c r="G29" s="289"/>
      <c r="H29" s="289">
        <v>1</v>
      </c>
      <c r="I29" s="289"/>
    </row>
    <row r="30" spans="4:12" ht="25.5" x14ac:dyDescent="0.25">
      <c r="D30" s="358"/>
      <c r="E30" s="291" t="s">
        <v>191</v>
      </c>
      <c r="F30" s="289"/>
      <c r="G30" s="289">
        <v>1</v>
      </c>
      <c r="H30" s="289"/>
      <c r="I30" s="289"/>
    </row>
    <row r="31" spans="4:12" ht="38.25" x14ac:dyDescent="0.25">
      <c r="D31" s="358"/>
      <c r="E31" s="291" t="s">
        <v>232</v>
      </c>
      <c r="F31" s="289"/>
      <c r="G31" s="289"/>
      <c r="H31" s="289">
        <v>2</v>
      </c>
      <c r="I31" s="289">
        <v>1</v>
      </c>
      <c r="L31">
        <f>19+3+20+19</f>
        <v>61</v>
      </c>
    </row>
    <row r="32" spans="4:12" ht="25.5" x14ac:dyDescent="0.25">
      <c r="D32" s="358"/>
      <c r="E32" s="291" t="s">
        <v>299</v>
      </c>
      <c r="F32" s="289"/>
      <c r="G32" s="289">
        <v>1</v>
      </c>
      <c r="H32" s="289">
        <v>5</v>
      </c>
      <c r="I32" s="289"/>
    </row>
    <row r="33" spans="4:10" ht="25.5" x14ac:dyDescent="0.25">
      <c r="D33" s="358"/>
      <c r="E33" s="291" t="s">
        <v>586</v>
      </c>
      <c r="F33" s="289"/>
      <c r="G33" s="289"/>
      <c r="H33" s="289">
        <v>1</v>
      </c>
      <c r="I33" s="289"/>
    </row>
    <row r="34" spans="4:10" ht="25.5" x14ac:dyDescent="0.25">
      <c r="D34" s="358"/>
      <c r="E34" s="291" t="s">
        <v>382</v>
      </c>
      <c r="F34" s="289"/>
      <c r="G34" s="289">
        <v>1</v>
      </c>
      <c r="H34" s="289">
        <v>1</v>
      </c>
      <c r="I34" s="289">
        <v>1</v>
      </c>
    </row>
    <row r="35" spans="4:10" ht="25.5" x14ac:dyDescent="0.25">
      <c r="D35" s="359"/>
      <c r="E35" s="291" t="s">
        <v>358</v>
      </c>
      <c r="F35" s="289"/>
      <c r="G35" s="289"/>
      <c r="H35" s="289">
        <v>1</v>
      </c>
      <c r="I35" s="289">
        <v>1</v>
      </c>
    </row>
    <row r="36" spans="4:10" ht="25.5" x14ac:dyDescent="0.25">
      <c r="D36" s="356" t="s">
        <v>1044</v>
      </c>
      <c r="E36" s="291" t="s">
        <v>63</v>
      </c>
      <c r="F36" s="289"/>
      <c r="G36" s="289">
        <v>3</v>
      </c>
      <c r="H36" s="289">
        <v>3</v>
      </c>
      <c r="I36" s="289"/>
    </row>
    <row r="37" spans="4:10" ht="51" x14ac:dyDescent="0.25">
      <c r="D37" s="356"/>
      <c r="E37" s="291" t="s">
        <v>126</v>
      </c>
      <c r="F37" s="289"/>
      <c r="G37" s="289">
        <v>1</v>
      </c>
      <c r="H37" s="289"/>
      <c r="I37" s="289"/>
    </row>
    <row r="38" spans="4:10" x14ac:dyDescent="0.25">
      <c r="D38" s="356"/>
      <c r="E38" s="291" t="s">
        <v>53</v>
      </c>
      <c r="F38" s="289"/>
      <c r="G38" s="289"/>
      <c r="H38" s="289">
        <v>1</v>
      </c>
      <c r="I38" s="289">
        <v>2</v>
      </c>
    </row>
    <row r="39" spans="4:10" ht="25.5" x14ac:dyDescent="0.25">
      <c r="D39" s="356"/>
      <c r="E39" s="291" t="s">
        <v>290</v>
      </c>
      <c r="F39" s="289"/>
      <c r="G39" s="289"/>
      <c r="H39" s="289">
        <v>1</v>
      </c>
      <c r="I39" s="289"/>
    </row>
    <row r="40" spans="4:10" ht="38.25" x14ac:dyDescent="0.25">
      <c r="D40" s="356"/>
      <c r="E40" s="291" t="s">
        <v>38</v>
      </c>
      <c r="F40" s="289"/>
      <c r="G40" s="289">
        <v>1</v>
      </c>
      <c r="H40" s="289">
        <v>3</v>
      </c>
      <c r="I40" s="289">
        <v>2</v>
      </c>
    </row>
    <row r="41" spans="4:10" ht="25.5" x14ac:dyDescent="0.25">
      <c r="D41" s="356"/>
      <c r="E41" s="291" t="s">
        <v>1033</v>
      </c>
      <c r="F41" s="289"/>
      <c r="G41" s="289"/>
      <c r="H41" s="289">
        <v>1</v>
      </c>
      <c r="I41" s="289">
        <v>1</v>
      </c>
    </row>
    <row r="42" spans="4:10" x14ac:dyDescent="0.25">
      <c r="D42" s="286"/>
      <c r="E42" s="292" t="s">
        <v>1040</v>
      </c>
      <c r="F42" s="290">
        <v>1</v>
      </c>
      <c r="G42" s="290">
        <v>9</v>
      </c>
      <c r="H42" s="290">
        <v>38</v>
      </c>
      <c r="I42" s="290">
        <v>13</v>
      </c>
      <c r="J42">
        <f>SUM(F42:I42)</f>
        <v>61</v>
      </c>
    </row>
    <row r="43" spans="4:10" x14ac:dyDescent="0.25">
      <c r="F43" s="147">
        <f>F42/$J$42</f>
        <v>1.6393442622950821E-2</v>
      </c>
      <c r="G43" s="147">
        <f t="shared" ref="G43:I43" si="0">G42/$J$42</f>
        <v>0.14754098360655737</v>
      </c>
      <c r="H43" s="147">
        <f t="shared" si="0"/>
        <v>0.62295081967213117</v>
      </c>
      <c r="I43" s="147">
        <f t="shared" si="0"/>
        <v>0.21311475409836064</v>
      </c>
    </row>
  </sheetData>
  <mergeCells count="4">
    <mergeCell ref="D21:D25"/>
    <mergeCell ref="D26:D27"/>
    <mergeCell ref="D36:D41"/>
    <mergeCell ref="D28:D3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056653EE689CA418CB7153DD0F510F1" ma:contentTypeVersion="13" ma:contentTypeDescription="Crear nuevo documento." ma:contentTypeScope="" ma:versionID="7fb1b21839ed0678cc5fa52c072e1d4d">
  <xsd:schema xmlns:xsd="http://www.w3.org/2001/XMLSchema" xmlns:xs="http://www.w3.org/2001/XMLSchema" xmlns:p="http://schemas.microsoft.com/office/2006/metadata/properties" xmlns:ns3="ff401318-10f7-466a-8276-9e81457ac682" xmlns:ns4="cb27d171-fdb9-4a22-98e8-66ef83c4b2e4" targetNamespace="http://schemas.microsoft.com/office/2006/metadata/properties" ma:root="true" ma:fieldsID="2ec78609a0e660c71a26b9ac8b5b26ef" ns3:_="" ns4:_="">
    <xsd:import namespace="ff401318-10f7-466a-8276-9e81457ac682"/>
    <xsd:import namespace="cb27d171-fdb9-4a22-98e8-66ef83c4b2e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401318-10f7-466a-8276-9e81457ac68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27d171-fdb9-4a22-98e8-66ef83c4b2e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8B07F75-F01E-46A0-B7FF-825D26A46452}">
  <ds:schemaRefs>
    <ds:schemaRef ds:uri="http://schemas.microsoft.com/sharepoint/v3/contenttype/forms"/>
  </ds:schemaRefs>
</ds:datastoreItem>
</file>

<file path=customXml/itemProps2.xml><?xml version="1.0" encoding="utf-8"?>
<ds:datastoreItem xmlns:ds="http://schemas.openxmlformats.org/officeDocument/2006/customXml" ds:itemID="{41361008-689E-460B-A836-55993F8DE5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401318-10f7-466a-8276-9e81457ac682"/>
    <ds:schemaRef ds:uri="cb27d171-fdb9-4a22-98e8-66ef83c4b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40D452-90FA-4EF8-A95A-487CF5BF769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 de Gestión</vt:lpstr>
      <vt:lpstr>Hoja11</vt:lpstr>
      <vt:lpstr>Inactivos</vt:lpstr>
      <vt:lpstr>I. de Meta</vt:lpstr>
      <vt:lpstr>PMR</vt:lpstr>
      <vt:lpstr>listados</vt:lpstr>
      <vt:lpstr>Datos</vt:lpstr>
      <vt:lpstr>Gráficas</vt:lpstr>
      <vt:lpstr>Hoja1</vt:lpstr>
      <vt:lpstr>I. de obje estratégicos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Lizeth Buitrago Sierra</dc:creator>
  <cp:keywords/>
  <dc:description/>
  <cp:lastModifiedBy>Sandra Marcela Torres Avella</cp:lastModifiedBy>
  <cp:revision/>
  <dcterms:created xsi:type="dcterms:W3CDTF">2020-02-06T14:26:26Z</dcterms:created>
  <dcterms:modified xsi:type="dcterms:W3CDTF">2024-01-18T12:32:17Z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0x010100E056653EE689CA418CB7153DD0F510F1</vt:lpwstr>
  </property>
</Properties>
</file>