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mc:AlternateContent xmlns:mc="http://schemas.openxmlformats.org/markup-compatibility/2006">
    <mc:Choice Requires="x15">
      <x15ac:absPath xmlns:x15ac="http://schemas.microsoft.com/office/spreadsheetml/2010/11/ac" url="C:\Users\Marce\Downloads\"/>
    </mc:Choice>
  </mc:AlternateContent>
  <xr:revisionPtr revIDLastSave="0" documentId="13_ncr:1_{015E104C-4748-451A-87B2-C2CFCE109523}" xr6:coauthVersionLast="47" xr6:coauthVersionMax="47" xr10:uidLastSave="{00000000-0000-0000-0000-000000000000}"/>
  <bookViews>
    <workbookView xWindow="-120" yWindow="-120" windowWidth="20730" windowHeight="11040" firstSheet="1" activeTab="1" xr2:uid="{00000000-000D-0000-FFFF-FFFF00000000}"/>
  </bookViews>
  <sheets>
    <sheet name="Rangos" sheetId="18" state="hidden" r:id="rId1"/>
    <sheet name="I. de Gestión" sheetId="1" r:id="rId2"/>
    <sheet name="Hoja2" sheetId="12" state="hidden" r:id="rId3"/>
    <sheet name="Hoja7" sheetId="25" state="hidden" r:id="rId4"/>
    <sheet name="Eliminados" sheetId="10"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4" hidden="1">Eliminados!$B$9:$AW$97</definedName>
    <definedName name="_xlnm._FilterDatabase" localSheetId="1" hidden="1">'I. de Gestión'!$A$8:$AY$96</definedName>
    <definedName name="_xlnm._FilterDatabase" localSheetId="5" hidden="1">'I. de Gestión (2)'!$A$7:$AW$84</definedName>
    <definedName name="_xlnm._FilterDatabase" localSheetId="7" hidden="1">'I. de obje estratégicos'!$A$2:$E$28</definedName>
    <definedName name="_xlnm._FilterDatabase" localSheetId="0" hidden="1">Rangos!$A$8:$V$91</definedName>
  </definedNam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1" i="1" l="1"/>
  <c r="AU51" i="1" s="1"/>
  <c r="AT51" i="1"/>
  <c r="AV51" i="1"/>
  <c r="AW51" i="1"/>
  <c r="AV24" i="1"/>
  <c r="AV27" i="1"/>
  <c r="AV26" i="1"/>
  <c r="AV25" i="1" l="1"/>
  <c r="AW25" i="1"/>
  <c r="AW24" i="1"/>
  <c r="AV71" i="1" l="1"/>
  <c r="AV37" i="1"/>
  <c r="AV30" i="1"/>
  <c r="AV89" i="1"/>
  <c r="AW89" i="1"/>
  <c r="AW88" i="1"/>
  <c r="AV88" i="1"/>
  <c r="AV87" i="1"/>
  <c r="AW87" i="1"/>
  <c r="AR11" i="1" l="1"/>
  <c r="AW30" i="1"/>
  <c r="AV31" i="1"/>
  <c r="AV33" i="1" l="1"/>
  <c r="AV74" i="1" l="1"/>
  <c r="AV73" i="1"/>
  <c r="AV67" i="1"/>
  <c r="AV65" i="1"/>
  <c r="AW65" i="1" s="1"/>
  <c r="AV62" i="1"/>
  <c r="AV61" i="1"/>
  <c r="AV60" i="1"/>
  <c r="AV59" i="1"/>
  <c r="AV58" i="1"/>
  <c r="AW71" i="1"/>
  <c r="AW95" i="1"/>
  <c r="AW49" i="1"/>
  <c r="AW83" i="1"/>
  <c r="AW84" i="1"/>
  <c r="AW85" i="1"/>
  <c r="AW86" i="1"/>
  <c r="AW82" i="1"/>
  <c r="AW75" i="1"/>
  <c r="AR46" i="1"/>
  <c r="AQ50" i="1"/>
  <c r="AW50" i="1" s="1"/>
  <c r="AV49" i="1"/>
  <c r="AV29" i="1" l="1"/>
  <c r="AW29" i="1" s="1"/>
  <c r="AV57" i="1"/>
  <c r="AW57" i="1" s="1"/>
  <c r="AV56" i="1"/>
  <c r="AW56" i="1" s="1"/>
  <c r="AV54" i="1"/>
  <c r="AW54" i="1" s="1"/>
  <c r="AV53" i="1"/>
  <c r="AW53" i="1" s="1"/>
  <c r="AV52" i="1"/>
  <c r="AW52" i="1" s="1"/>
  <c r="AW58" i="1"/>
  <c r="AW74" i="1" l="1"/>
  <c r="AV68" i="1" l="1"/>
  <c r="AW68" i="1" s="1"/>
  <c r="AW67" i="1"/>
  <c r="AV69" i="1" l="1"/>
  <c r="AV70" i="1"/>
  <c r="AV72" i="1" l="1"/>
  <c r="AW73" i="1"/>
  <c r="AW62" i="1" l="1"/>
  <c r="AW60" i="1"/>
  <c r="AW61" i="1"/>
  <c r="AW59" i="1"/>
  <c r="AR66" i="1" l="1"/>
  <c r="AW66" i="1" s="1"/>
  <c r="AR64" i="1"/>
  <c r="AV64" i="1" s="1"/>
  <c r="AR18" i="1"/>
  <c r="AW64" i="1" l="1"/>
  <c r="AV77" i="1"/>
  <c r="AV76" i="1"/>
  <c r="AV78" i="1"/>
  <c r="AV75" i="1"/>
  <c r="AW48" i="1"/>
  <c r="AV48" i="1"/>
  <c r="AV47" i="1"/>
  <c r="AV46" i="1"/>
  <c r="AW46" i="1" s="1"/>
  <c r="AV21" i="1" l="1"/>
  <c r="AW21" i="1"/>
  <c r="AW18" i="1"/>
  <c r="AV18" i="1"/>
  <c r="AV39" i="1"/>
  <c r="AW39" i="1"/>
  <c r="AV40" i="1"/>
  <c r="AW40" i="1"/>
  <c r="AV41" i="1"/>
  <c r="AW41" i="1"/>
  <c r="AV42" i="1"/>
  <c r="AW42" i="1"/>
  <c r="AV43" i="1"/>
  <c r="AW43" i="1"/>
  <c r="AV44" i="1"/>
  <c r="AW44" i="1"/>
  <c r="AV45" i="1"/>
  <c r="AW45" i="1"/>
  <c r="AQ38" i="1"/>
  <c r="AV38" i="1" s="1"/>
  <c r="AV94" i="1"/>
  <c r="AW94" i="1"/>
  <c r="AV95" i="1"/>
  <c r="AW93" i="1"/>
  <c r="AV93" i="1"/>
  <c r="AW31" i="1"/>
  <c r="AQ14" i="1"/>
  <c r="AQ12" i="1"/>
  <c r="AW12" i="1" s="1"/>
  <c r="AV13" i="1"/>
  <c r="AW13" i="1"/>
  <c r="AW11" i="1"/>
  <c r="AQ9" i="1"/>
  <c r="AW9" i="1" s="1"/>
  <c r="AW38" i="1" l="1"/>
  <c r="AW14" i="1"/>
  <c r="AV80" i="1"/>
  <c r="AV90" i="1" l="1"/>
  <c r="AV35" i="1" l="1"/>
  <c r="AV36" i="1"/>
  <c r="AV34" i="1"/>
  <c r="AV32" i="1"/>
  <c r="AW81" i="1" l="1"/>
  <c r="AV82" i="1"/>
  <c r="AV83" i="1"/>
  <c r="AV84" i="1"/>
  <c r="AV85" i="1"/>
  <c r="AV86" i="1"/>
  <c r="AV81" i="1"/>
  <c r="AW47" i="1" l="1"/>
  <c r="AO50" i="1" l="1"/>
  <c r="AO12" i="1"/>
  <c r="AV12" i="1" s="1"/>
  <c r="AP66" i="1" l="1"/>
  <c r="AO14" i="1" l="1"/>
  <c r="AP11" i="1"/>
  <c r="AN26" i="1" l="1"/>
  <c r="AN50" i="1" l="1"/>
  <c r="AV50" i="1" s="1"/>
  <c r="AN66" i="1"/>
  <c r="AM66" i="1"/>
  <c r="AV66" i="1" s="1"/>
  <c r="AW78" i="1" l="1"/>
  <c r="AW77" i="1"/>
  <c r="AW76" i="1"/>
  <c r="AS75" i="1"/>
  <c r="AM14" i="1"/>
  <c r="AV14" i="1" s="1"/>
  <c r="AL11" i="1"/>
  <c r="AN11" i="1"/>
  <c r="AV11" i="1" s="1"/>
  <c r="AM9" i="1"/>
  <c r="AV9" i="1" s="1"/>
  <c r="AK32" i="1" l="1"/>
  <c r="AL32" i="1"/>
  <c r="AS33" i="1" l="1"/>
  <c r="AT33" i="1"/>
  <c r="AL42" i="1"/>
  <c r="AK42" i="1"/>
  <c r="AU33" i="1" l="1"/>
  <c r="AL64" i="1"/>
  <c r="AL66" i="1" l="1"/>
  <c r="AT16" i="1" l="1"/>
  <c r="AT15" i="1"/>
  <c r="AS53" i="1" l="1"/>
  <c r="AT53" i="1"/>
  <c r="AU53" i="1" l="1"/>
  <c r="AT23" i="1" l="1"/>
  <c r="AS23" i="1"/>
  <c r="AT21" i="1"/>
  <c r="AS21" i="1"/>
  <c r="AT20" i="1"/>
  <c r="AT19" i="1"/>
  <c r="AU21" i="1" l="1"/>
  <c r="AV10" i="1"/>
  <c r="AL50" i="1"/>
  <c r="AV28" i="1"/>
  <c r="AW28" i="1" s="1"/>
  <c r="AS28" i="1"/>
  <c r="AT28" i="1"/>
  <c r="AU28" i="1" l="1"/>
  <c r="AK9" i="1"/>
  <c r="AL9" i="1"/>
  <c r="AJ26" i="1" l="1"/>
  <c r="AJ64" i="1" l="1"/>
  <c r="AJ66" i="1"/>
  <c r="AJ11" i="1" l="1"/>
  <c r="AS10" i="1" l="1"/>
  <c r="AT10" i="1"/>
  <c r="V11" i="1" l="1"/>
  <c r="X11" i="1"/>
  <c r="Z11" i="1"/>
  <c r="AB11" i="1"/>
  <c r="AF11" i="1"/>
  <c r="AH11" i="1"/>
  <c r="AU10" i="1" l="1"/>
  <c r="AH66" i="1" l="1"/>
  <c r="AT54" i="1" l="1"/>
  <c r="AS54" i="1"/>
  <c r="AF66" i="1"/>
  <c r="AS89" i="1"/>
  <c r="AT89" i="1"/>
  <c r="AU54" i="1" l="1"/>
  <c r="AU89" i="1"/>
  <c r="AS29" i="1"/>
  <c r="AT29" i="1"/>
  <c r="AE41" i="1"/>
  <c r="AU29" i="1" l="1"/>
  <c r="AE20" i="1"/>
  <c r="AK20" i="1" s="1"/>
  <c r="AQ20" i="1" s="1"/>
  <c r="AE19" i="1"/>
  <c r="AV20" i="1" l="1"/>
  <c r="AW20" i="1"/>
  <c r="AK19" i="1"/>
  <c r="AS20" i="1"/>
  <c r="AU20" i="1" s="1"/>
  <c r="AT77" i="1"/>
  <c r="AQ19" i="1" l="1"/>
  <c r="AS71" i="1"/>
  <c r="AW19" i="1" l="1"/>
  <c r="AV19" i="1"/>
  <c r="AS19" i="1"/>
  <c r="AU19" i="1" s="1"/>
  <c r="AS90" i="1"/>
  <c r="AD66" i="1" l="1"/>
  <c r="AB66" i="1"/>
  <c r="AS14" i="1" l="1"/>
  <c r="AT14" i="1"/>
  <c r="AU14" i="1" l="1"/>
  <c r="F12" i="25"/>
  <c r="AS32" i="1" l="1"/>
  <c r="Z32" i="1"/>
  <c r="AT32" i="1" s="1"/>
  <c r="AU32" i="1" l="1"/>
  <c r="F5" i="25"/>
  <c r="F6" i="25"/>
  <c r="F7" i="25"/>
  <c r="F8" i="25"/>
  <c r="F4" i="25"/>
  <c r="F10" i="25"/>
  <c r="AT52" i="1" l="1"/>
  <c r="AS52" i="1"/>
  <c r="AT57" i="1"/>
  <c r="AS57" i="1"/>
  <c r="AT56" i="1"/>
  <c r="AS56" i="1"/>
  <c r="AT90" i="1"/>
  <c r="AU57" i="1" l="1"/>
  <c r="AU56" i="1"/>
  <c r="AU52" i="1"/>
  <c r="AS92" i="1"/>
  <c r="AS48" i="1" l="1"/>
  <c r="AT48" i="1"/>
  <c r="AS46" i="1"/>
  <c r="AT46" i="1"/>
  <c r="AS47" i="1"/>
  <c r="AT47" i="1"/>
  <c r="AU46" i="1" l="1"/>
  <c r="AU47" i="1"/>
  <c r="AU48" i="1"/>
  <c r="Z66" i="1"/>
  <c r="AS68" i="1" l="1"/>
  <c r="AT68" i="1"/>
  <c r="AS69" i="1"/>
  <c r="AT69" i="1"/>
  <c r="AS70" i="1"/>
  <c r="AT70" i="1"/>
  <c r="AT71" i="1"/>
  <c r="AS72" i="1"/>
  <c r="AT72" i="1"/>
  <c r="AS73" i="1"/>
  <c r="AT73" i="1"/>
  <c r="AS74" i="1"/>
  <c r="AT74" i="1"/>
  <c r="AT67" i="1"/>
  <c r="AS67" i="1"/>
  <c r="AT65" i="1"/>
  <c r="AS65" i="1"/>
  <c r="AT62" i="1"/>
  <c r="AS62" i="1"/>
  <c r="AT61" i="1"/>
  <c r="AS61" i="1"/>
  <c r="AT60" i="1"/>
  <c r="AS60" i="1"/>
  <c r="AT59" i="1"/>
  <c r="AS59" i="1"/>
  <c r="AT58" i="1"/>
  <c r="AS58" i="1"/>
  <c r="AT80" i="1"/>
  <c r="AS80" i="1"/>
  <c r="AT37" i="1"/>
  <c r="AS37" i="1"/>
  <c r="AT36" i="1"/>
  <c r="AS36" i="1"/>
  <c r="AT35" i="1"/>
  <c r="AS35" i="1"/>
  <c r="AT34" i="1"/>
  <c r="AS34" i="1"/>
  <c r="AT22" i="1"/>
  <c r="AS22" i="1"/>
  <c r="AT18" i="1"/>
  <c r="AS18" i="1"/>
  <c r="AS16" i="1"/>
  <c r="AV16" i="1" s="1"/>
  <c r="AS15" i="1"/>
  <c r="AV15" i="1" s="1"/>
  <c r="AU22" i="1" l="1"/>
  <c r="AU37" i="1"/>
  <c r="AU18" i="1"/>
  <c r="AU69" i="1"/>
  <c r="AU71" i="1"/>
  <c r="AU74" i="1"/>
  <c r="AU61" i="1"/>
  <c r="AU67" i="1"/>
  <c r="AU58" i="1"/>
  <c r="AU62" i="1"/>
  <c r="AU60" i="1"/>
  <c r="AU65" i="1"/>
  <c r="AU68" i="1"/>
  <c r="AU59" i="1"/>
  <c r="AU73" i="1"/>
  <c r="AU70" i="1"/>
  <c r="AU72" i="1"/>
  <c r="AU34" i="1"/>
  <c r="AU80" i="1"/>
  <c r="AU36" i="1"/>
  <c r="AU35" i="1"/>
  <c r="AS87" i="1"/>
  <c r="AT87" i="1"/>
  <c r="AT45" i="1"/>
  <c r="AS45" i="1"/>
  <c r="AT44" i="1"/>
  <c r="AS44" i="1"/>
  <c r="AT43" i="1"/>
  <c r="AS43" i="1"/>
  <c r="AT42" i="1"/>
  <c r="AS42" i="1"/>
  <c r="AT41" i="1"/>
  <c r="AS41" i="1"/>
  <c r="AT40" i="1"/>
  <c r="AS40" i="1"/>
  <c r="AT39" i="1"/>
  <c r="AS39" i="1"/>
  <c r="AT38" i="1"/>
  <c r="AS38" i="1"/>
  <c r="AT92" i="1"/>
  <c r="AU87" i="1" l="1"/>
  <c r="AU39" i="1"/>
  <c r="AU90" i="1"/>
  <c r="AU38" i="1"/>
  <c r="AU92" i="1"/>
  <c r="AU41" i="1"/>
  <c r="AU45" i="1"/>
  <c r="AU42" i="1"/>
  <c r="AU44" i="1"/>
  <c r="AU43" i="1"/>
  <c r="AT88" i="1" l="1"/>
  <c r="AS88" i="1"/>
  <c r="AS95" i="1"/>
  <c r="AT95" i="1"/>
  <c r="AU95" i="1" l="1"/>
  <c r="AU88" i="1"/>
  <c r="AS50" i="1"/>
  <c r="AT50" i="1"/>
  <c r="AU50" i="1" l="1"/>
  <c r="V66" i="1"/>
  <c r="X66" i="1"/>
  <c r="AS66" i="1"/>
  <c r="AT64" i="1"/>
  <c r="AS64" i="1"/>
  <c r="AS11" i="1"/>
  <c r="AT11" i="1"/>
  <c r="B98" i="10"/>
  <c r="AT27" i="1"/>
  <c r="AS27" i="1"/>
  <c r="AT26" i="1"/>
  <c r="AS26" i="1"/>
  <c r="AS25" i="1"/>
  <c r="AT25" i="1"/>
  <c r="AU25" i="1" l="1"/>
  <c r="AT66" i="1"/>
  <c r="AU66" i="1" s="1"/>
  <c r="AU11" i="1"/>
  <c r="AU64" i="1"/>
  <c r="AU26" i="1"/>
  <c r="AU27" i="1"/>
  <c r="AT24" i="1" l="1"/>
  <c r="AS24" i="1"/>
  <c r="AU24" i="1" l="1"/>
  <c r="AS49" i="1"/>
  <c r="AT49" i="1"/>
  <c r="AT86" i="1"/>
  <c r="AS86" i="1"/>
  <c r="AT85" i="1"/>
  <c r="AS85" i="1"/>
  <c r="AS84" i="1"/>
  <c r="AT84" i="1"/>
  <c r="AS83" i="1"/>
  <c r="AT83" i="1"/>
  <c r="AS82" i="1"/>
  <c r="AT82" i="1"/>
  <c r="AT81" i="1"/>
  <c r="AS81" i="1"/>
  <c r="AS78" i="1"/>
  <c r="AT78" i="1"/>
  <c r="AS77" i="1"/>
  <c r="AS76" i="1"/>
  <c r="AT76" i="1"/>
  <c r="AT75" i="1"/>
  <c r="AU75" i="1" s="1"/>
  <c r="AT94" i="1"/>
  <c r="AS94" i="1"/>
  <c r="AT93" i="1"/>
  <c r="AS93" i="1"/>
  <c r="AT31" i="1"/>
  <c r="AS31" i="1"/>
  <c r="AT30" i="1"/>
  <c r="AS30" i="1"/>
  <c r="AS13" i="1"/>
  <c r="AT13" i="1"/>
  <c r="AT12" i="1"/>
  <c r="AS12" i="1"/>
  <c r="AT9" i="1"/>
  <c r="AS9" i="1"/>
  <c r="AU13" i="1" l="1"/>
  <c r="AU84" i="1"/>
  <c r="AU30" i="1"/>
  <c r="AU49" i="1"/>
  <c r="AU82" i="1"/>
  <c r="AU83" i="1"/>
  <c r="AU86" i="1"/>
  <c r="AU85" i="1"/>
  <c r="AU81" i="1"/>
  <c r="AU78" i="1"/>
  <c r="AU76" i="1"/>
  <c r="AU9" i="1"/>
  <c r="AU77" i="1"/>
  <c r="AU94" i="1"/>
  <c r="AU93" i="1"/>
  <c r="AU31" i="1"/>
  <c r="AU12"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3" i="10" l="1"/>
  <c r="B94" i="10" s="1"/>
  <c r="B95" i="10" s="1"/>
  <c r="B96" i="10" s="1"/>
  <c r="E67" i="12" l="1"/>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C11" i="1" l="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10" i="1"/>
  <c r="C57" i="1" l="1"/>
  <c r="C58" i="1" s="1"/>
  <c r="C59" i="1" s="1"/>
  <c r="C60" i="1" l="1"/>
  <c r="C61" i="1" s="1"/>
  <c r="C62" i="1" s="1"/>
  <c r="C64" i="1" s="1"/>
  <c r="C65" i="1" s="1"/>
  <c r="C66" i="1" s="1"/>
  <c r="C67" i="1" s="1"/>
  <c r="C68" i="1" s="1"/>
  <c r="C69" i="1" s="1"/>
  <c r="C70" i="1" s="1"/>
  <c r="C71" i="1" s="1"/>
  <c r="C72" i="1" s="1"/>
  <c r="C73" i="1" s="1"/>
  <c r="C74" i="1" s="1"/>
  <c r="C75" i="1" s="1"/>
  <c r="C76" i="1" s="1"/>
  <c r="C77" i="1" s="1"/>
  <c r="C78" i="1" s="1"/>
  <c r="C63" i="1" l="1"/>
  <c r="C79" i="1"/>
  <c r="C80" i="1"/>
  <c r="C81" i="1" s="1"/>
  <c r="C82" i="1" s="1"/>
  <c r="C83" i="1" s="1"/>
  <c r="C84" i="1" s="1"/>
  <c r="C85" i="1" s="1"/>
  <c r="C86" i="1" s="1"/>
  <c r="C87" i="1" s="1"/>
  <c r="C88" i="1" s="1"/>
  <c r="C89" i="1" s="1"/>
  <c r="C90" i="1" s="1"/>
  <c r="C91" i="1" l="1"/>
  <c r="C93" i="1"/>
  <c r="C92" i="1" l="1"/>
  <c r="C94" i="1"/>
  <c r="C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S8" authorId="0" shapeId="0" xr:uid="{00000000-0006-0000-0300-000001000000}">
      <text>
        <r>
          <rPr>
            <b/>
            <sz val="9"/>
            <color indexed="81"/>
            <rFont val="Tahoma"/>
            <family val="2"/>
          </rPr>
          <t>Activo o inactivo</t>
        </r>
      </text>
    </comment>
    <comment ref="T8" authorId="1" shapeId="0" xr:uid="{00000000-0006-0000-03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text>
    </comment>
    <comment ref="AW8" authorId="2" shapeId="0" xr:uid="{00000000-0006-0000-0300-000003000000}">
      <text>
        <r>
          <rPr>
            <b/>
            <sz val="9"/>
            <color indexed="81"/>
            <rFont val="Tahoma"/>
            <family val="2"/>
          </rPr>
          <t>Sandra Marcela Torres Avella:</t>
        </r>
        <r>
          <rPr>
            <sz val="9"/>
            <color indexed="81"/>
            <rFont val="Tahoma"/>
            <family val="2"/>
          </rPr>
          <t xml:space="preserve">
resultado absoluto con base de a la meta establecida</t>
        </r>
      </text>
    </comment>
    <comment ref="R63" authorId="2" shapeId="0" xr:uid="{00000000-0006-0000-0300-00000400000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6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700-000001000000}">
      <text>
        <r>
          <rPr>
            <b/>
            <sz val="9"/>
            <color indexed="81"/>
            <rFont val="Tahoma"/>
            <family val="2"/>
          </rPr>
          <t>Activo o inactivo</t>
        </r>
      </text>
    </comment>
  </commentList>
</comments>
</file>

<file path=xl/sharedStrings.xml><?xml version="1.0" encoding="utf-8"?>
<sst xmlns="http://schemas.openxmlformats.org/spreadsheetml/2006/main" count="6590" uniqueCount="1294">
  <si>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</si>
  <si>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</si>
  <si>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</si>
  <si>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</si>
  <si>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</si>
  <si>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</si>
  <si>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</si>
  <si>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</si>
  <si>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</si>
  <si>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</si>
  <si>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</si>
  <si>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</si>
  <si>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</si>
  <si>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</si>
  <si>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</si>
  <si>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</si>
  <si>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</si>
  <si>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</si>
  <si>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</si>
  <si>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</si>
  <si>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</si>
  <si>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</si>
  <si>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</si>
  <si>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</si>
  <si>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</si>
  <si>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</si>
  <si>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</si>
  <si>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</si>
  <si>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</si>
  <si>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</si>
  <si>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</si>
  <si>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</si>
  <si>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</si>
  <si>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</si>
  <si>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</si>
  <si>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</si>
  <si>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</si>
  <si>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</si>
  <si>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</si>
  <si>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</si>
  <si>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</si>
  <si>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</si>
  <si>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</si>
  <si>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</si>
  <si>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</si>
  <si>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</si>
  <si>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</si>
  <si>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</si>
  <si>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</si>
  <si>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</si>
  <si>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</si>
  <si>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</si>
  <si>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</si>
  <si>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</si>
  <si>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</si>
  <si>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</si>
  <si>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</si>
  <si>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</si>
  <si>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</si>
  <si>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</si>
  <si>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</si>
  <si>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</si>
  <si>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</si>
  <si>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</si>
  <si>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</si>
  <si>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</si>
  <si>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</si>
  <si>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</si>
  <si>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</si>
  <si>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</si>
  <si>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</si>
  <si>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</si>
  <si>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</si>
  <si>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</si>
  <si>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</si>
  <si>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</si>
  <si>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</si>
  <si>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</si>
  <si>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</si>
  <si>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</si>
  <si>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</si>
  <si>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</si>
  <si>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</si>
  <si>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</si>
  <si>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</si>
  <si>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</si>
  <si>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</si>
  <si>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</si>
  <si>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</si>
  <si>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</si>
  <si>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</si>
  <si>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</si>
  <si>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</si>
  <si>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</si>
  <si>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</si>
  <si>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</si>
  <si>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</si>
  <si>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</si>
  <si>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</si>
  <si>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</si>
  <si>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</si>
  <si>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</si>
  <si>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</si>
  <si>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</si>
  <si>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</si>
  <si>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</si>
  <si>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</si>
  <si>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</si>
  <si>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</si>
  <si>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</si>
  <si>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</si>
  <si>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</si>
  <si>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</si>
  <si>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</si>
  <si>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</si>
  <si>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</si>
  <si>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</si>
  <si>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</si>
  <si>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</si>
  <si>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</si>
  <si>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</si>
  <si>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</si>
  <si>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</si>
  <si>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</si>
  <si>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</si>
  <si>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</si>
  <si>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</si>
  <si>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</si>
  <si>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</si>
  <si>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</si>
  <si>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</si>
  <si>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</si>
  <si>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</si>
  <si>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</si>
  <si>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</si>
  <si>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</si>
  <si>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</si>
  <si>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</si>
  <si>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</si>
  <si>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</si>
  <si>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</si>
  <si>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</si>
  <si>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</si>
  <si>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</si>
  <si>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</si>
  <si>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</si>
  <si>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</si>
  <si>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</si>
  <si>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</si>
  <si>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</si>
  <si>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</si>
  <si>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</si>
  <si>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</si>
  <si>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</si>
  <si>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</si>
  <si>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</si>
  <si>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</si>
  <si>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</si>
  <si>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</si>
  <si>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</si>
  <si>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</si>
  <si>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</si>
  <si>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</si>
  <si>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</si>
  <si>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</si>
  <si>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</si>
  <si>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</si>
  <si>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</si>
  <si>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</si>
  <si>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</si>
  <si>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</si>
  <si>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</si>
  <si>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</si>
  <si>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</si>
  <si>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</si>
  <si>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</si>
  <si>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</si>
  <si>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</si>
  <si>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</si>
  <si>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</si>
  <si>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</si>
  <si>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</si>
  <si>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</si>
  <si>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</si>
  <si>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</si>
  <si>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</si>
  <si>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</si>
  <si>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</si>
  <si>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</si>
  <si>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</si>
  <si>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</si>
  <si>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</si>
  <si>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</si>
  <si>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</si>
  <si>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</si>
  <si>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</si>
  <si>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</si>
  <si>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</si>
  <si>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</si>
  <si>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</si>
  <si>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</si>
  <si>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</si>
  <si>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</si>
  <si>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</si>
  <si>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</si>
  <si>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</si>
  <si>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</si>
  <si>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</si>
  <si>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</si>
  <si>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</si>
  <si>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</si>
  <si>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</si>
  <si>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</si>
  <si>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</si>
  <si>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</si>
  <si>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</si>
  <si>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</si>
  <si>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</si>
  <si>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</si>
  <si>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</si>
  <si>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</si>
  <si>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</si>
  <si>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</si>
  <si>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</si>
  <si>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</si>
  <si>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</si>
  <si>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</si>
  <si>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</si>
  <si>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</si>
  <si>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</si>
  <si>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</si>
  <si>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</si>
  <si>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</si>
  <si>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</si>
  <si>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</si>
  <si>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</si>
  <si>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</si>
  <si>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</si>
  <si>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</si>
  <si>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</si>
  <si>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</si>
  <si>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</si>
  <si>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</si>
  <si>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</si>
  <si>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</si>
  <si>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</si>
  <si>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</si>
  <si>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</si>
  <si>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</si>
  <si>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</si>
  <si>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</si>
  <si>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</si>
  <si>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</si>
  <si>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</si>
  <si>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</si>
  <si>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</si>
  <si>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</si>
  <si>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</si>
  <si>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</si>
  <si>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</si>
  <si>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</si>
  <si>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</si>
  <si>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</si>
  <si>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</si>
  <si>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</si>
  <si>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</si>
  <si>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</si>
  <si>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</si>
  <si>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</si>
  <si>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</si>
  <si>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</si>
  <si>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</si>
  <si>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</si>
  <si>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</si>
  <si>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</si>
  <si>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</si>
  <si>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</si>
  <si>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</si>
  <si>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</si>
  <si>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</si>
  <si>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</si>
  <si>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</si>
  <si>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</si>
  <si>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</si>
  <si>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</si>
  <si>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</si>
  <si>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</si>
  <si>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</si>
  <si>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</si>
  <si>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</si>
  <si>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</si>
  <si>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</si>
  <si>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</si>
  <si>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</si>
  <si>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</si>
  <si>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</si>
  <si>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</si>
  <si>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</si>
  <si>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</si>
  <si>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</si>
  <si>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</si>
  <si>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</si>
  <si>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</si>
  <si>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</si>
  <si>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</si>
  <si>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</si>
  <si>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</si>
  <si>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</si>
  <si>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</si>
  <si>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</si>
  <si>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</si>
  <si>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</si>
  <si>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</si>
  <si>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</si>
  <si>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</si>
  <si>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</si>
  <si>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</si>
  <si>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</si>
  <si>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</si>
  <si>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</si>
  <si>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</si>
  <si>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</si>
  <si>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</si>
  <si>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</si>
  <si>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</si>
  <si>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</si>
  <si>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</si>
  <si>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</si>
  <si>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</si>
  <si>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</si>
  <si>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</si>
  <si>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</si>
  <si>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</si>
  <si>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</si>
  <si>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</si>
  <si>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</si>
  <si>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</si>
  <si>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</si>
  <si>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</si>
  <si>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</si>
  <si>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</si>
  <si>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</si>
  <si>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</si>
  <si>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</si>
  <si>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</si>
  <si>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</si>
  <si>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</si>
  <si>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</si>
  <si>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</si>
  <si>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</si>
  <si>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</si>
  <si>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</si>
  <si>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</si>
  <si>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</si>
  <si>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</si>
  <si>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</si>
  <si>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</si>
  <si>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</si>
  <si>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</si>
  <si>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</si>
  <si>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</si>
  <si>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</si>
  <si>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</si>
  <si>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</si>
  <si>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</si>
  <si>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</si>
  <si>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</si>
  <si>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</si>
  <si>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</si>
  <si>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</si>
  <si>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</si>
  <si>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</si>
  <si>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</si>
  <si>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</si>
  <si>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</si>
  <si>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</si>
  <si>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</si>
  <si>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</si>
  <si>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</si>
  <si>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</si>
  <si>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</si>
  <si>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</si>
  <si>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</si>
  <si>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</si>
  <si>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</si>
  <si>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</si>
  <si>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</si>
  <si>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</si>
  <si>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</si>
  <si>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</si>
  <si>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</si>
  <si>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</si>
  <si>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</si>
  <si>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</si>
  <si>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</si>
  <si>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</si>
  <si>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</si>
  <si>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</si>
  <si>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</si>
  <si>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</si>
  <si>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</si>
  <si>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</si>
  <si>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</si>
  <si>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</si>
  <si>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</si>
  <si>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</si>
  <si>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</si>
  <si>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</si>
  <si>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</si>
  <si>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</si>
  <si>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</si>
  <si>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</si>
  <si>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</si>
  <si>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</si>
  <si>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</si>
  <si>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</si>
  <si>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</si>
  <si>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</si>
  <si>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</si>
  <si>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</si>
  <si>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</si>
  <si>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</si>
  <si>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</si>
  <si>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</si>
  <si>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</si>
  <si>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</si>
  <si>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</si>
  <si>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</si>
  <si>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</si>
  <si>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</si>
  <si>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</si>
  <si>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</si>
  <si>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</si>
  <si>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</si>
  <si>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</si>
  <si>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</si>
  <si>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</si>
  <si>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</si>
  <si>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</si>
  <si>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</si>
  <si>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</si>
  <si>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</si>
  <si>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</si>
  <si>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</si>
  <si>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</si>
  <si>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</si>
  <si>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</si>
  <si>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</si>
  <si>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</si>
  <si>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</si>
  <si>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</si>
  <si>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</si>
  <si>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</si>
  <si>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</si>
  <si>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</si>
  <si>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</si>
  <si>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</si>
  <si>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</si>
  <si>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</si>
  <si>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</si>
  <si>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</si>
  <si>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</si>
  <si>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</si>
  <si>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</si>
  <si>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</si>
  <si>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</si>
  <si>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</si>
  <si>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</si>
  <si>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</si>
  <si>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</si>
  <si>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</si>
  <si>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</si>
  <si>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</si>
  <si>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</si>
  <si>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</si>
  <si>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</si>
  <si>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</si>
  <si>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</si>
  <si>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</si>
  <si>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</si>
  <si>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</si>
  <si>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</si>
  <si>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</si>
  <si>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</si>
  <si>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</si>
  <si>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</si>
  <si>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</si>
  <si>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</si>
  <si>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</si>
  <si>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</si>
  <si>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</si>
  <si>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</si>
  <si>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</si>
  <si>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</si>
  <si>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</si>
  <si>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</si>
  <si>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</si>
  <si>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</si>
  <si>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</si>
  <si>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</si>
  <si>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</si>
  <si>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</si>
  <si>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</si>
  <si>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</si>
  <si>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</si>
  <si>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</si>
  <si>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</si>
  <si>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</si>
  <si>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</si>
  <si>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</si>
  <si>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</si>
  <si>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</si>
  <si>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</si>
  <si>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</si>
  <si>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</si>
  <si>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</si>
  <si>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</si>
  <si>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</si>
  <si>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</si>
  <si>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</si>
  <si>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</si>
  <si>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</si>
  <si>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</si>
  <si>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</si>
  <si>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</si>
  <si>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</si>
  <si>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</si>
  <si>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</si>
  <si>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</si>
  <si>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</si>
  <si>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</si>
  <si>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(Todas)</t>
  </si>
  <si>
    <t>Etiquetas de fila</t>
  </si>
  <si>
    <t>En cumplimiento</t>
  </si>
  <si>
    <t>En ejecución</t>
  </si>
  <si>
    <t>Total general</t>
  </si>
  <si>
    <t>Misional</t>
  </si>
  <si>
    <t>Apoyo</t>
  </si>
  <si>
    <t>Código:</t>
  </si>
  <si>
    <t>F-DS-737</t>
  </si>
  <si>
    <t>Versión:</t>
  </si>
  <si>
    <t>Fecha Aprobación:</t>
  </si>
  <si>
    <t xml:space="preserve">Fecha de Vigencia:   06-03-2020            </t>
  </si>
  <si>
    <t>Hoja 1 de 1</t>
  </si>
  <si>
    <t>Código</t>
  </si>
  <si>
    <t>Tipo de cálculo</t>
  </si>
  <si>
    <t>Enero</t>
  </si>
  <si>
    <t>Febrero</t>
  </si>
  <si>
    <t>Marzo</t>
  </si>
  <si>
    <t>Abril</t>
  </si>
  <si>
    <t>Mayo</t>
  </si>
  <si>
    <t>Junio</t>
  </si>
  <si>
    <t>Julio</t>
  </si>
  <si>
    <t>Agosto</t>
  </si>
  <si>
    <t>Septiembre</t>
  </si>
  <si>
    <t>Octubre</t>
  </si>
  <si>
    <t>Noviembre</t>
  </si>
  <si>
    <t>Diciembre</t>
  </si>
  <si>
    <t>Total Variable</t>
  </si>
  <si>
    <t xml:space="preserve"> Acumulado</t>
  </si>
  <si>
    <t>Ejecutado trimestre IV</t>
  </si>
  <si>
    <t>Ejecutado con corte a Diciembre</t>
  </si>
  <si>
    <t>Resultado Acumulado</t>
  </si>
  <si>
    <t>Observaciones (OPA)</t>
  </si>
  <si>
    <t>AIB-IND-1</t>
  </si>
  <si>
    <t xml:space="preserve">Enero: Se valida soporte y dato
</t>
  </si>
  <si>
    <t>GE-IND-1</t>
  </si>
  <si>
    <t xml:space="preserve">08/03/2022
Falta reporte de enero y febrero, por dificultades con la plataforma de medici´pn en el C4, redactar en el análisis.
17/08/2022
*Falta soportes con corte a julio.
*Falta análisis con corte a julio
*Desde la OAP se carga datos con corte al mes de junio
* Reporta meta para cada periodo
12/09/2022
*Falta soportes con corte a julNIO
*Falta análisis con corte a juNIO
*Desde la OAP se carga datos con corte al mes de juLIO
* Reporta meta para cada periodo
</t>
  </si>
  <si>
    <t>AIB-IND-2</t>
  </si>
  <si>
    <t>Días calendario del mes</t>
  </si>
  <si>
    <t>((A)/(B*C))*100</t>
  </si>
  <si>
    <t>AIB-IND-3</t>
  </si>
  <si>
    <t>Enero: Se valida soporte y dato</t>
  </si>
  <si>
    <t>AIB-IND-4</t>
  </si>
  <si>
    <t>Total de Personas Privadas de la Libertad asignadas a actividades válidas para redención de pena</t>
  </si>
  <si>
    <t>AIB-IND-5</t>
  </si>
  <si>
    <t>AJ-IND1</t>
  </si>
  <si>
    <t>Actividades implementadas para la articulación de instituciones en el marco de los sistemas locales de Justicia</t>
  </si>
  <si>
    <t>Númerico</t>
  </si>
  <si>
    <t>A</t>
  </si>
  <si>
    <t>AJ-IND2</t>
  </si>
  <si>
    <t>AJ-IND4</t>
  </si>
  <si>
    <t xml:space="preserve">#número de usuarios
 encuestados
</t>
  </si>
  <si>
    <t>AJ-IND5</t>
  </si>
  <si>
    <t>AJ-IND6</t>
  </si>
  <si>
    <t>AJ-IND7</t>
  </si>
  <si>
    <t>AJ-IND8</t>
  </si>
  <si>
    <t>AJ-IND9</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</si>
  <si>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</si>
  <si>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</si>
  <si>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</si>
  <si>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</si>
  <si>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AS-IND-1</t>
  </si>
  <si>
    <t>AS-IND-2</t>
  </si>
  <si>
    <t>Número de traslados de PQRSDF realizados  en el BTE</t>
  </si>
  <si>
    <t>Número de traslados de PQRSDF realizados dentro de los plazos legalmente establecidos en el BTE</t>
  </si>
  <si>
    <t>AS-IND-3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</si>
  <si>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</si>
  <si>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</si>
  <si>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</si>
  <si>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Número de respuestas a las PQRS de la ciudadanía que cumplen los criterios de calidad</t>
  </si>
  <si>
    <t>Número total de PQRS de la muestra</t>
  </si>
  <si>
    <t>AS-IND-4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</si>
  <si>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</si>
  <si>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</si>
  <si>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Número de encuestas con las dos mayores calificaciones</t>
  </si>
  <si>
    <t>Total de encuestas realizadas</t>
  </si>
  <si>
    <t>CID-IND-1</t>
  </si>
  <si>
    <t xml:space="preserve">
información sensible y confidencial por tal razón goza de reserva sumarial.</t>
  </si>
  <si>
    <t>CID-IND-2</t>
  </si>
  <si>
    <t xml:space="preserve">
información sensible y confidencial por tal razón goza de reserva sumarial.
127 expedientes de 182 expedientes activos, ya que el valor restante corresponde a expedientes que se encuentran en término, pero que no son susceptible de impulsos debido a su estadio procesal</t>
  </si>
  <si>
    <t>CVS-IND-1</t>
  </si>
  <si>
    <t xml:space="preserve">CVS-IND-2
</t>
  </si>
  <si>
    <t>Enero: Se valida datos y soprotes.</t>
  </si>
  <si>
    <t>DS-IND-1</t>
  </si>
  <si>
    <t>numero de colaboradores con calificaciones entre 4 y 5</t>
  </si>
  <si>
    <t>total de colaboradores capacitados</t>
  </si>
  <si>
    <t>Enero: Se valida soporte</t>
  </si>
  <si>
    <t>DS-IND-2</t>
  </si>
  <si>
    <t>FC-IND-2</t>
  </si>
  <si>
    <t>FC-IND-3</t>
  </si>
  <si>
    <t>FC-IND-4</t>
  </si>
  <si>
    <t>FC-IND-5</t>
  </si>
  <si>
    <t xml:space="preserve">Mediente el umplimiento de las diferentes etapas contractuales </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</si>
  <si>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</si>
  <si>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</si>
  <si>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</si>
  <si>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</si>
  <si>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 xml:space="preserve">FD-IND-1	</t>
  </si>
  <si>
    <t xml:space="preserve">FD-IND-2	</t>
  </si>
  <si>
    <t xml:space="preserve">FD-IND-3	</t>
  </si>
  <si>
    <t>FD-IND-4</t>
  </si>
  <si>
    <t>FD-IND-5</t>
  </si>
  <si>
    <t>FD-IND-6</t>
  </si>
  <si>
    <t>FD-IND-7</t>
  </si>
  <si>
    <t>FD-IND-8</t>
  </si>
  <si>
    <t>GC-IND1</t>
  </si>
  <si>
    <t>Número de seguidores en Canales digitales para el periodo anterior</t>
  </si>
  <si>
    <t>GC-IND2</t>
  </si>
  <si>
    <t xml:space="preserve">Oportunidad en la entrega de piezas gráficas de comunicación efectivas    </t>
  </si>
  <si>
    <t>Sumatoria de piezas graficas de elaboradas en 5 o menos días</t>
  </si>
  <si>
    <t>GC-IND3</t>
  </si>
  <si>
    <t>GE-IND-2</t>
  </si>
  <si>
    <t xml:space="preserve">
Se recomienda fortalecer análisis de los resultados del indicador</t>
  </si>
  <si>
    <t>GE-IND-3</t>
  </si>
  <si>
    <t>GE-IND-4</t>
  </si>
  <si>
    <t>Tasa de Calidad de la Operación SUR</t>
  </si>
  <si>
    <t>Medir el nivel de calidad de la gestión de los incidentes recibidos en la Sala Unificada de Recepción de la Línea 123 mediante la revisión y calificación de los criterios de evaluación definidos en el árbol de decisión vigente.</t>
  </si>
  <si>
    <t>Porcentaje</t>
  </si>
  <si>
    <t>Número total de evaluaciones óptimas</t>
  </si>
  <si>
    <t>Número total de evaluaciones realizadas</t>
  </si>
  <si>
    <t>(A/B)x101</t>
  </si>
  <si>
    <t>GF-IND-1</t>
  </si>
  <si>
    <t>Se valida soporte y dato falta soporte completo</t>
  </si>
  <si>
    <t xml:space="preserve">GF-IND-2	</t>
  </si>
  <si>
    <t xml:space="preserve">GF-IND-3	</t>
  </si>
  <si>
    <t xml:space="preserve">GF-IND-4	</t>
  </si>
  <si>
    <t xml:space="preserve">GF-IND-5	</t>
  </si>
  <si>
    <t xml:space="preserve">GH-IND1 </t>
  </si>
  <si>
    <t>GH-IND10</t>
  </si>
  <si>
    <t>GH-IND11</t>
  </si>
  <si>
    <t>GH-IND12</t>
  </si>
  <si>
    <t>GH-IND13</t>
  </si>
  <si>
    <t>GH-IND14</t>
  </si>
  <si>
    <t>GH-IND15</t>
  </si>
  <si>
    <t>&lt;3%</t>
  </si>
  <si>
    <t xml:space="preserve">GH-IND16 </t>
  </si>
  <si>
    <t xml:space="preserve">GH-IND17
</t>
  </si>
  <si>
    <t>Número de trabajadores activos en el mes</t>
  </si>
  <si>
    <t>GH-IND2</t>
  </si>
  <si>
    <t>GH-IND3</t>
  </si>
  <si>
    <t>GH-IND4</t>
  </si>
  <si>
    <t xml:space="preserve">GH-IND5 </t>
  </si>
  <si>
    <t xml:space="preserve">GH-IND6 </t>
  </si>
  <si>
    <t xml:space="preserve">GH-IND7 </t>
  </si>
  <si>
    <t>GH-IND8</t>
  </si>
  <si>
    <t xml:space="preserve">GH-IND9 </t>
  </si>
  <si>
    <t>GI-IND-1</t>
  </si>
  <si>
    <t xml:space="preserve">Cumplimiento en tiempos de respuesta a los requerimientos de información.         </t>
  </si>
  <si>
    <t>Enero: Se valida soportes 
Se recomienda fortalecer el análisis de los indicadores</t>
  </si>
  <si>
    <t>GI-IND-2</t>
  </si>
  <si>
    <t>GI-IND-3</t>
  </si>
  <si>
    <t>GI-IND-4</t>
  </si>
  <si>
    <t>Número de fuentes de información actualizadas DG</t>
  </si>
  <si>
    <t>Total fuentes de información  DG</t>
  </si>
  <si>
    <t xml:space="preserve">GS-IND-1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</si>
  <si>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</si>
  <si>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</si>
  <si>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</si>
  <si>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</si>
  <si>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GT-IND-1</t>
  </si>
  <si>
    <t xml:space="preserve">GT-IND-2
</t>
  </si>
  <si>
    <t>GT-IND-3</t>
  </si>
  <si>
    <t>GT-IND-4</t>
  </si>
  <si>
    <t>GT-IND-5</t>
  </si>
  <si>
    <t>GT-IND-6</t>
  </si>
  <si>
    <t xml:space="preserve">JC-IND-1
</t>
  </si>
  <si>
    <t>&lt;20%</t>
  </si>
  <si>
    <t xml:space="preserve">JC-IND-2
</t>
  </si>
  <si>
    <t xml:space="preserve">JC-IND-3
</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</si>
  <si>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</si>
  <si>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</si>
  <si>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</si>
  <si>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</si>
  <si>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</si>
  <si>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SM-IND-1</t>
  </si>
  <si>
    <t>SM-IND-2</t>
  </si>
  <si>
    <t>18/04/2022
Desde la OAP se realiza cargue de datos y análisis 
El proceso solicita inactivar el indicador a partir de julio.</t>
  </si>
  <si>
    <t xml:space="preserve">TJ-IND-1
</t>
  </si>
  <si>
    <t>TJ-IND-2</t>
  </si>
  <si>
    <t>&lt;25%</t>
  </si>
  <si>
    <t xml:space="preserve">TJ-IND-3
</t>
  </si>
  <si>
    <t xml:space="preserve">Sumatoria de horas de respuesta a solicitudes    </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</si>
  <si>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</si>
  <si>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</si>
  <si>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</si>
  <si>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</si>
  <si>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</si>
  <si>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</si>
  <si>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</si>
  <si>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</si>
  <si>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</si>
  <si>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</si>
  <si>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</si>
  <si>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</si>
  <si>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</si>
  <si>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</si>
  <si>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</si>
  <si>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</si>
  <si>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</si>
  <si>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</si>
  <si>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</si>
  <si>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</si>
  <si>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</si>
  <si>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</si>
  <si>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</si>
  <si>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</si>
  <si>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</si>
  <si>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</si>
  <si>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</si>
  <si>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</si>
  <si>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</si>
  <si>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</si>
  <si>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</si>
  <si>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</si>
  <si>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</si>
  <si>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</si>
  <si>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</si>
  <si>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</si>
  <si>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</si>
  <si>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(en blanco)</t>
  </si>
  <si>
    <t xml:space="preserve">Deficiente </t>
  </si>
  <si>
    <t>INACTIVO</t>
  </si>
  <si>
    <t>Deficiente (menor a 50%)</t>
  </si>
  <si>
    <t>Satisfactorio (entre 51% - 79%)</t>
  </si>
  <si>
    <t>Sobresaliente (mayor a 80%)</t>
  </si>
  <si>
    <t>Incactivo</t>
  </si>
  <si>
    <t xml:space="preserve">Sin reporte </t>
  </si>
  <si>
    <t>proceso</t>
  </si>
  <si>
    <t>Suma de otro periodo</t>
  </si>
  <si>
    <t>Suma de En alerta</t>
  </si>
  <si>
    <t>Suma de En cumplimiento</t>
  </si>
  <si>
    <t>Suma de En ejecución</t>
  </si>
  <si>
    <t>Estratégico</t>
  </si>
  <si>
    <t>Seguimiento y control</t>
  </si>
  <si>
    <t>Total</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</si>
  <si>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</si>
  <si>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</si>
  <si>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</si>
  <si>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</si>
  <si>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</si>
  <si>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</si>
  <si>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</si>
  <si>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</si>
  <si>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</si>
  <si>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</si>
  <si>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</si>
  <si>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</si>
  <si>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</si>
  <si>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</si>
  <si>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</si>
  <si>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</si>
  <si>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</si>
  <si>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</si>
  <si>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</si>
  <si>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</si>
  <si>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</si>
  <si>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</si>
  <si>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</si>
  <si>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</si>
  <si>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</si>
  <si>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</si>
  <si>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</si>
  <si>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</si>
  <si>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</si>
  <si>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</si>
  <si>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</si>
  <si>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</si>
  <si>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</si>
  <si>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</si>
  <si>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</si>
  <si>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</si>
  <si>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</si>
  <si>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</si>
  <si>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</si>
  <si>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</si>
  <si>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</si>
  <si>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</si>
  <si>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</si>
  <si>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</si>
  <si>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</si>
  <si>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</si>
  <si>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</si>
  <si>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</si>
  <si>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</si>
  <si>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</si>
  <si>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</si>
  <si>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</si>
  <si>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</si>
  <si>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</si>
  <si>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</si>
  <si>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</si>
  <si>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</si>
  <si>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</si>
  <si>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</si>
  <si>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</si>
  <si>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</si>
  <si>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</si>
  <si>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</si>
  <si>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</si>
  <si>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</si>
  <si>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</si>
  <si>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</si>
  <si>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</si>
  <si>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</si>
  <si>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</si>
  <si>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</si>
  <si>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</si>
  <si>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</si>
  <si>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</si>
  <si>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</si>
  <si>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</si>
  <si>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</si>
  <si>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</si>
  <si>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</si>
  <si>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</si>
  <si>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</si>
  <si>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</si>
  <si>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</si>
  <si>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</si>
  <si>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</si>
  <si>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</si>
  <si>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</si>
  <si>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</si>
  <si>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</si>
  <si>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</si>
  <si>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</si>
  <si>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</si>
  <si>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</si>
  <si>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</si>
  <si>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</si>
  <si>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</si>
  <si>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</si>
  <si>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</si>
  <si>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</si>
  <si>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</si>
  <si>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</si>
  <si>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</si>
  <si>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</si>
  <si>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</si>
  <si>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</si>
  <si>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</si>
  <si>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</si>
  <si>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</si>
  <si>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</si>
  <si>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</si>
  <si>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</si>
  <si>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</si>
  <si>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</si>
  <si>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</si>
  <si>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</si>
  <si>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</si>
  <si>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</si>
  <si>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</si>
  <si>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</si>
  <si>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</si>
  <si>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</si>
  <si>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</si>
  <si>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</si>
  <si>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</si>
  <si>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</si>
  <si>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</si>
  <si>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</si>
  <si>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</si>
  <si>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</si>
  <si>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</si>
  <si>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</si>
  <si>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</si>
  <si>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</si>
  <si>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</si>
  <si>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</si>
  <si>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</si>
  <si>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</si>
  <si>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</si>
  <si>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</si>
  <si>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</si>
  <si>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</si>
  <si>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</si>
  <si>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</si>
  <si>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</si>
  <si>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</si>
  <si>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</si>
  <si>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</si>
  <si>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</si>
  <si>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</si>
  <si>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</si>
  <si>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</si>
  <si>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</si>
  <si>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</si>
  <si>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</si>
  <si>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</si>
  <si>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</si>
  <si>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</si>
  <si>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</si>
  <si>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</si>
  <si>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</si>
  <si>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</si>
  <si>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</si>
  <si>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</si>
  <si>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</si>
  <si>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</si>
  <si>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</si>
  <si>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</si>
  <si>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</si>
  <si>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</si>
  <si>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</si>
  <si>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</si>
  <si>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</si>
  <si>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</si>
  <si>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</si>
  <si>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</si>
  <si>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</si>
  <si>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</si>
  <si>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</si>
  <si>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</si>
  <si>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</si>
  <si>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</si>
  <si>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</si>
  <si>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</si>
  <si>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</si>
  <si>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</si>
  <si>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</si>
  <si>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</si>
  <si>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</si>
  <si>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</si>
  <si>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</si>
  <si>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</si>
  <si>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</si>
  <si>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</si>
  <si>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</si>
  <si>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</si>
  <si>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</si>
  <si>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</si>
  <si>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</si>
  <si>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</si>
  <si>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</si>
  <si>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</si>
  <si>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</si>
  <si>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</si>
  <si>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</si>
  <si>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</si>
  <si>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</si>
  <si>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</si>
  <si>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</si>
  <si>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</si>
  <si>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</si>
  <si>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</si>
  <si>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</si>
  <si>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</si>
  <si>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</si>
  <si>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</si>
  <si>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</si>
  <si>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</si>
  <si>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</si>
  <si>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</si>
  <si>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</si>
  <si>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</si>
  <si>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</si>
  <si>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</si>
  <si>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</si>
  <si>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</si>
  <si>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</si>
  <si>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</si>
  <si>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</si>
  <si>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</si>
  <si>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</si>
  <si>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</si>
  <si>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</si>
  <si>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</si>
  <si>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</si>
  <si>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</si>
  <si>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</si>
  <si>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</si>
  <si>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</si>
  <si>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</si>
  <si>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</si>
  <si>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</si>
  <si>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</si>
  <si>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</si>
  <si>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</si>
  <si>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</si>
  <si>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</si>
  <si>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</si>
  <si>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</si>
  <si>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</si>
  <si>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</si>
  <si>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</si>
  <si>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</si>
  <si>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</si>
  <si>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</si>
  <si>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</si>
  <si>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</si>
  <si>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</si>
  <si>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</si>
  <si>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</si>
  <si>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</si>
  <si>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</si>
  <si>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</si>
  <si>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</si>
  <si>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</si>
  <si>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</si>
  <si>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</si>
  <si>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</si>
  <si>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</si>
  <si>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</si>
  <si>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</si>
  <si>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</si>
  <si>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</si>
  <si>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</si>
  <si>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</si>
  <si>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</si>
  <si>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</si>
  <si>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</si>
  <si>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</si>
  <si>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</si>
  <si>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</si>
  <si>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</si>
  <si>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</si>
  <si>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</si>
  <si>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</si>
  <si>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</si>
  <si>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</si>
  <si>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</si>
  <si>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</si>
  <si>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</si>
  <si>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</si>
  <si>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</si>
  <si>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</si>
  <si>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</si>
  <si>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</si>
  <si>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</si>
  <si>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</si>
  <si>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</si>
  <si>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</si>
  <si>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</si>
  <si>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</si>
  <si>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</si>
  <si>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</si>
  <si>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</si>
  <si>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</si>
  <si>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</si>
  <si>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</si>
  <si>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</si>
  <si>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</si>
  <si>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</si>
  <si>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</si>
  <si>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</si>
  <si>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</si>
  <si>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</si>
  <si>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</si>
  <si>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</si>
  <si>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</si>
  <si>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</si>
  <si>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</si>
  <si>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</si>
  <si>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</si>
  <si>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</si>
  <si>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</si>
  <si>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</si>
  <si>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</si>
  <si>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</si>
  <si>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</si>
  <si>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</si>
  <si>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</si>
  <si>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</si>
  <si>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</si>
  <si>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</si>
  <si>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</si>
  <si>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</si>
  <si>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</si>
  <si>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</si>
  <si>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</si>
  <si>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</si>
  <si>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</si>
  <si>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</si>
  <si>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</si>
  <si>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</si>
  <si>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</si>
  <si>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</si>
  <si>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</si>
  <si>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</si>
  <si>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</si>
  <si>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</si>
  <si>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</si>
  <si>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</si>
  <si>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</si>
  <si>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</si>
  <si>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</si>
  <si>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</si>
  <si>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</si>
  <si>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</si>
  <si>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</si>
  <si>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</si>
  <si>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</si>
  <si>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</si>
  <si>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</si>
  <si>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</si>
  <si>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</si>
  <si>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</si>
  <si>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</si>
  <si>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</si>
  <si>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</si>
  <si>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</si>
  <si>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</si>
  <si>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</si>
  <si>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</si>
  <si>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</si>
  <si>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</si>
  <si>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</si>
  <si>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</si>
  <si>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</si>
  <si>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</si>
  <si>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</si>
  <si>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</si>
  <si>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</si>
  <si>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</si>
  <si>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</si>
  <si>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</si>
  <si>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</si>
  <si>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</si>
  <si>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</si>
  <si>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</si>
  <si>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</si>
  <si>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</si>
  <si>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</si>
  <si>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</si>
  <si>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</si>
  <si>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</si>
  <si>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</si>
  <si>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</si>
  <si>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</si>
  <si>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</si>
  <si>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</si>
  <si>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</si>
  <si>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</si>
  <si>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</si>
  <si>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</si>
  <si>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</si>
  <si>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</si>
  <si>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</si>
  <si>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</si>
  <si>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</si>
  <si>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</si>
  <si>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</si>
  <si>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</si>
  <si>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</si>
  <si>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</si>
  <si>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</si>
  <si>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</si>
  <si>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</si>
  <si>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</si>
  <si>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</si>
  <si>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</si>
  <si>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</si>
  <si>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</si>
  <si>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</si>
  <si>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</si>
  <si>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</si>
  <si>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</si>
  <si>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</si>
  <si>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</si>
  <si>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</si>
  <si>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</si>
  <si>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</si>
  <si>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</si>
  <si>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</si>
  <si>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</si>
  <si>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</si>
  <si>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</si>
  <si>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</si>
  <si>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</si>
  <si>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</si>
  <si>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</si>
  <si>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</si>
  <si>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</si>
  <si>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</si>
  <si>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</si>
  <si>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</si>
  <si>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</si>
  <si>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</si>
  <si>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</si>
  <si>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</si>
  <si>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</si>
  <si>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</si>
  <si>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</si>
  <si>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</si>
  <si>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</si>
  <si>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</si>
  <si>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</si>
  <si>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</si>
  <si>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</si>
  <si>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</si>
  <si>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</si>
  <si>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</si>
  <si>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</si>
  <si>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</si>
  <si>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</si>
  <si>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</si>
  <si>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</si>
  <si>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</si>
  <si>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</si>
  <si>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</si>
  <si>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</si>
  <si>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</si>
  <si>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</si>
  <si>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</si>
  <si>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</si>
  <si>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</si>
  <si>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</si>
  <si>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</si>
  <si>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</si>
  <si>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</si>
  <si>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</si>
  <si>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</si>
  <si>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</si>
  <si>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</si>
  <si>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</si>
  <si>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</si>
  <si>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</si>
  <si>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</si>
  <si>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</si>
  <si>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</si>
  <si>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</si>
  <si>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</si>
  <si>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</si>
  <si>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</si>
  <si>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</si>
  <si>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</si>
  <si>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</si>
  <si>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</si>
  <si>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</si>
  <si>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</si>
  <si>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</si>
  <si>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</si>
  <si>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</si>
  <si>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</si>
  <si>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</si>
  <si>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</si>
  <si>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</si>
  <si>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</si>
  <si>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</si>
  <si>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</si>
  <si>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</si>
  <si>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</si>
  <si>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</si>
  <si>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</si>
  <si>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</si>
  <si>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</si>
  <si>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</si>
  <si>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</si>
  <si>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</si>
  <si>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</si>
  <si>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</si>
  <si>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</si>
  <si>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</si>
  <si>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</si>
  <si>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</si>
  <si>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</si>
  <si>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</si>
  <si>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</si>
  <si>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</si>
  <si>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En alerta</t>
  </si>
  <si>
    <t>Enero: Se validan datos de variables</t>
  </si>
  <si>
    <t>Enero: Se valida datos y soprotes.Se recomienda realizar actividades de mejora, el resultado fue dado por la exigencias en el cumplimiento de lineamientos de radicación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</si>
</sst>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0.000%"/>
  </numFmts>
  <fonts count="31"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s>
  <fills count="2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7"/>
        <bgColor indexed="64"/>
      </patternFill>
    </fill>
    <fill>
      <patternFill patternType="solid">
        <fgColor rgb="FF92D050"/>
        <bgColor indexed="64"/>
      </patternFill>
    </fill>
    <fill>
      <patternFill patternType="solid">
        <fgColor rgb="FF00B0F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301">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8" fillId="0" borderId="1" xfId="0" applyFont="1" applyBorder="1" applyAlignment="1">
      <alignmen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top" wrapText="1"/>
    </xf>
    <xf numFmtId="9" fontId="26"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9" xfId="0" applyNumberFormat="1" applyFont="1" applyBorder="1" applyAlignment="1">
      <alignment vertical="center" wrapText="1"/>
    </xf>
    <xf numFmtId="0" fontId="26" fillId="0" borderId="25"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center" wrapText="1"/>
    </xf>
    <xf numFmtId="1" fontId="1" fillId="0" borderId="1" xfId="2" applyNumberFormat="1" applyFont="1" applyFill="1" applyBorder="1" applyAlignment="1">
      <alignment vertical="center" wrapText="1"/>
    </xf>
    <xf numFmtId="0" fontId="27" fillId="0" borderId="1" xfId="0" applyFont="1" applyBorder="1" applyAlignment="1">
      <alignment horizontal="center" vertical="center" wrapText="1"/>
    </xf>
    <xf numFmtId="9" fontId="1" fillId="0" borderId="1" xfId="2" applyFont="1" applyFill="1" applyBorder="1" applyAlignment="1">
      <alignment vertical="center" wrapText="1"/>
    </xf>
    <xf numFmtId="2" fontId="1" fillId="0" borderId="1" xfId="0" applyNumberFormat="1" applyFont="1" applyBorder="1" applyAlignment="1">
      <alignment vertical="center" wrapText="1"/>
    </xf>
    <xf numFmtId="2" fontId="1" fillId="0" borderId="1" xfId="2" applyNumberFormat="1" applyFont="1" applyFill="1" applyBorder="1" applyAlignment="1">
      <alignment horizontal="center" vertical="center" wrapText="1"/>
    </xf>
    <xf numFmtId="9" fontId="28" fillId="15" borderId="1" xfId="2" applyFont="1" applyFill="1" applyBorder="1" applyAlignment="1">
      <alignment horizontal="center" vertical="center" wrapText="1"/>
    </xf>
    <xf numFmtId="9" fontId="28" fillId="4" borderId="1" xfId="2"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9" fillId="0" borderId="1" xfId="0" applyFont="1" applyBorder="1" applyAlignment="1">
      <alignment horizontal="left" vertical="center" wrapText="1"/>
    </xf>
    <xf numFmtId="2" fontId="1" fillId="0" borderId="1" xfId="2" applyNumberFormat="1" applyFont="1" applyFill="1" applyBorder="1" applyAlignment="1">
      <alignmen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0" fontId="1" fillId="0" borderId="25" xfId="0" applyFont="1" applyBorder="1" applyAlignment="1">
      <alignment horizontal="center" vertical="center" wrapText="1"/>
    </xf>
    <xf numFmtId="1" fontId="1" fillId="0" borderId="1" xfId="2" applyNumberFormat="1" applyFont="1" applyFill="1" applyBorder="1" applyAlignment="1">
      <alignment horizontal="center" vertical="center" wrapText="1"/>
    </xf>
    <xf numFmtId="166" fontId="1" fillId="0" borderId="1" xfId="2"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3" borderId="19" xfId="0" applyFont="1" applyFill="1" applyBorder="1" applyAlignment="1">
      <alignment horizontal="left" vertical="center" wrapText="1"/>
    </xf>
    <xf numFmtId="0" fontId="1" fillId="17" borderId="1" xfId="0" applyFont="1" applyFill="1" applyBorder="1" applyAlignment="1">
      <alignment wrapText="1"/>
    </xf>
    <xf numFmtId="1" fontId="1" fillId="3" borderId="1" xfId="0" applyNumberFormat="1" applyFont="1" applyFill="1" applyBorder="1" applyAlignment="1">
      <alignment horizontal="center" vertical="center" wrapText="1"/>
    </xf>
    <xf numFmtId="166" fontId="1" fillId="0" borderId="1" xfId="2" applyNumberFormat="1" applyFont="1" applyFill="1" applyBorder="1" applyAlignment="1">
      <alignment wrapText="1"/>
    </xf>
    <xf numFmtId="0" fontId="1" fillId="21"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9" xfId="0" applyFont="1" applyBorder="1" applyAlignment="1">
      <alignment horizontal="left" vertical="center" wrapText="1"/>
    </xf>
    <xf numFmtId="9" fontId="28" fillId="22" borderId="1" xfId="2" applyFont="1" applyFill="1" applyBorder="1" applyAlignment="1">
      <alignment horizontal="center" vertical="center" wrapText="1"/>
    </xf>
    <xf numFmtId="2" fontId="1" fillId="0" borderId="1" xfId="2" applyNumberFormat="1" applyFont="1" applyBorder="1" applyAlignment="1">
      <alignment horizontal="center" vertical="center" wrapText="1"/>
    </xf>
    <xf numFmtId="1" fontId="1" fillId="0" borderId="0" xfId="0" applyNumberFormat="1" applyFont="1" applyAlignment="1">
      <alignment horizontal="center" wrapText="1"/>
    </xf>
    <xf numFmtId="9" fontId="1" fillId="0" borderId="1" xfId="2" applyFont="1" applyFill="1" applyBorder="1" applyAlignment="1">
      <alignment wrapText="1"/>
    </xf>
    <xf numFmtId="0" fontId="1" fillId="23" borderId="0" xfId="0" applyFont="1" applyFill="1" applyAlignment="1">
      <alignment horizontal="center" wrapText="1"/>
    </xf>
    <xf numFmtId="0" fontId="1" fillId="0" borderId="26" xfId="0" applyFont="1" applyBorder="1" applyAlignment="1">
      <alignment vertical="center" wrapText="1"/>
    </xf>
    <xf numFmtId="2" fontId="1" fillId="0" borderId="1" xfId="0" applyNumberFormat="1" applyFont="1" applyBorder="1" applyAlignment="1">
      <alignment horizontal="center" vertical="center" wrapText="1"/>
    </xf>
    <xf numFmtId="1" fontId="1" fillId="0" borderId="1" xfId="0" applyNumberFormat="1" applyFont="1" applyBorder="1" applyAlignment="1">
      <alignment horizontal="left" vertical="top" wrapText="1"/>
    </xf>
    <xf numFmtId="0" fontId="0" fillId="0" borderId="27" xfId="0" applyBorder="1"/>
    <xf numFmtId="0" fontId="1" fillId="0" borderId="1" xfId="0" applyFont="1" applyBorder="1" applyAlignment="1">
      <alignment horizontal="right" vertical="center" wrapText="1"/>
    </xf>
    <xf numFmtId="10" fontId="1" fillId="0" borderId="1" xfId="0" applyNumberFormat="1" applyFont="1" applyBorder="1" applyAlignment="1">
      <alignment vertical="center" wrapText="1"/>
    </xf>
    <xf numFmtId="1" fontId="18" fillId="0" borderId="16" xfId="0" applyNumberFormat="1" applyFont="1" applyBorder="1" applyAlignment="1">
      <alignment horizontal="center" vertical="center" wrapText="1"/>
    </xf>
    <xf numFmtId="1" fontId="1" fillId="0" borderId="8" xfId="0" applyNumberFormat="1" applyFont="1" applyBorder="1" applyAlignment="1">
      <alignment horizontal="center" vertical="center"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0" borderId="5" xfId="0" applyFont="1" applyBorder="1" applyAlignment="1">
      <alignment horizontal="center" vertical="center" wrapText="1"/>
    </xf>
    <xf numFmtId="1" fontId="21" fillId="0" borderId="5"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0" borderId="13" xfId="0" applyFont="1" applyBorder="1" applyAlignment="1">
      <alignment horizontal="center" vertical="center" wrapText="1"/>
    </xf>
    <xf numFmtId="1" fontId="21" fillId="0" borderId="13" xfId="0" applyNumberFormat="1" applyFont="1" applyBorder="1" applyAlignment="1">
      <alignment horizontal="center" vertical="center" wrapText="1"/>
    </xf>
    <xf numFmtId="0" fontId="21" fillId="0" borderId="14" xfId="0" applyFont="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0" borderId="6" xfId="0" applyNumberFormat="1" applyFont="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0" borderId="14" xfId="0" applyNumberFormat="1" applyFont="1" applyBorder="1" applyAlignment="1">
      <alignment horizontal="center" vertical="center" wrapText="1"/>
    </xf>
    <xf numFmtId="0" fontId="23" fillId="0" borderId="4" xfId="0" applyFont="1" applyBorder="1" applyAlignment="1">
      <alignment horizontal="center" wrapText="1"/>
    </xf>
    <xf numFmtId="0" fontId="23" fillId="0" borderId="6" xfId="0" applyFont="1" applyBorder="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23" fillId="0" borderId="14" xfId="0" applyFont="1" applyBorder="1" applyAlignment="1">
      <alignment horizont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1" fillId="10" borderId="7" xfId="0" applyFont="1" applyFill="1" applyBorder="1" applyAlignment="1">
      <alignment horizontal="center" vertical="center" wrapText="1"/>
    </xf>
    <xf numFmtId="0" fontId="21" fillId="0" borderId="8" xfId="0" applyFont="1" applyBorder="1" applyAlignment="1">
      <alignment horizontal="center" vertical="center" wrapText="1"/>
    </xf>
    <xf numFmtId="1" fontId="21" fillId="0" borderId="8" xfId="0" applyNumberFormat="1" applyFont="1" applyBorder="1" applyAlignment="1">
      <alignment horizontal="center" vertical="center" wrapText="1"/>
    </xf>
    <xf numFmtId="0" fontId="21" fillId="0" borderId="9" xfId="0" applyFont="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0" borderId="9" xfId="0" applyNumberFormat="1" applyFont="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27">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FF00"/>
      <color rgb="FFFF7C8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MX"/>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0</xdr:colOff>
      <xdr:row>18</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162457</xdr:colOff>
      <xdr:row>1</xdr:row>
      <xdr:rowOff>213997</xdr:rowOff>
    </xdr:from>
    <xdr:to>
      <xdr:col>2</xdr:col>
      <xdr:colOff>296616</xdr:colOff>
      <xdr:row>4</xdr:row>
      <xdr:rowOff>153562</xdr:rowOff>
    </xdr:to>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534" y="382516"/>
          <a:ext cx="573773" cy="664931"/>
        </a:xfrm>
        <a:prstGeom prst="rect">
          <a:avLst/>
        </a:prstGeom>
      </xdr:spPr>
    </xdr:pic>
    <xdr:clientData/>
  </xdr:twoCellAnchor>
  <xdr:twoCellAnchor editAs="oneCell">
    <xdr:from>
      <xdr:col>13</xdr:col>
      <xdr:colOff>94384</xdr:colOff>
      <xdr:row>97</xdr:row>
      <xdr:rowOff>138033</xdr:rowOff>
    </xdr:from>
    <xdr:to>
      <xdr:col>14</xdr:col>
      <xdr:colOff>561769</xdr:colOff>
      <xdr:row>97</xdr:row>
      <xdr:rowOff>718781</xdr:rowOff>
    </xdr:to>
    <xdr:pic>
      <xdr:nvPicPr>
        <xdr:cNvPr id="39" name="Imagen 38">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50</xdr:col>
      <xdr:colOff>710712</xdr:colOff>
      <xdr:row>97</xdr:row>
      <xdr:rowOff>71877</xdr:rowOff>
    </xdr:from>
    <xdr:to>
      <xdr:col>50</xdr:col>
      <xdr:colOff>1679627</xdr:colOff>
      <xdr:row>97</xdr:row>
      <xdr:rowOff>649162</xdr:rowOff>
    </xdr:to>
    <xdr:pic>
      <xdr:nvPicPr>
        <xdr:cNvPr id="40" name="Imagen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17</xdr:col>
      <xdr:colOff>0</xdr:colOff>
      <xdr:row>15</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88</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88</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77</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77</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77</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94</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A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B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1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2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5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3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6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6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7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7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Tablero%20de%20Control%202022_I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cela Torres Avella" refreshedDate="44672.434371759256" createdVersion="6" refreshedVersion="6" minRefreshableVersion="3" recordCount="18" xr:uid="{00000000-000A-0000-FFFF-FFFF00000000}">
  <cacheSource type="worksheet">
    <worksheetSource ref="F6:J24" sheet="datos" r:id="rId2"/>
  </cacheSource>
  <cacheFields count="6">
    <cacheField name="tipo de proceso" numFmtId="0">
      <sharedItems count="4">
        <s v="Misional"/>
        <s v="Apoyo"/>
        <s v="Estratégico"/>
        <s v="Seguimiento y control"/>
      </sharedItems>
    </cacheField>
    <cacheField name="proceso" numFmtId="0">
      <sharedItems count="18">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H-1 - Gestión Humana      "/>
        <s v="GI-1 - Gestión y Análisis de  Información de S,C Y J"/>
        <s v="GS-1 - Gestión de Seguridad y Convivencia     "/>
        <s v="GT-1 - Gestión de tecnologías de la información      "/>
        <s v="JC-1 - Gestión Jurídica y Contractual "/>
        <s v="SM-1 - Seguimiento y monitoreo al Sistema de Control Interno    "/>
        <s v="TJ-1 - Trámite Jurídico a la situación de personas privadas de la libertad "/>
      </sharedItems>
    </cacheField>
    <cacheField name="En alerta" numFmtId="0">
      <sharedItems containsString="0" containsBlank="1" containsNumber="1" containsInteger="1" minValue="1" maxValue="1"/>
    </cacheField>
    <cacheField name="En cumplimiento" numFmtId="0">
      <sharedItems containsString="0" containsBlank="1" containsNumber="1" containsInteger="1" minValue="2" maxValue="17"/>
    </cacheField>
    <cacheField name="En ejecución" numFmtId="0">
      <sharedItems containsString="0" containsBlank="1" containsNumber="1" containsInteger="1" minValue="1" maxValue="1"/>
    </cacheField>
    <cacheField name="otro periodo"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m/>
    <n v="5"/>
    <m/>
    <x v="0"/>
  </r>
  <r>
    <x v="0"/>
    <x v="1"/>
    <m/>
    <n v="8"/>
    <m/>
    <x v="1"/>
  </r>
  <r>
    <x v="1"/>
    <x v="2"/>
    <m/>
    <n v="4"/>
    <m/>
    <x v="0"/>
  </r>
  <r>
    <x v="1"/>
    <x v="3"/>
    <m/>
    <n v="2"/>
    <m/>
    <x v="0"/>
  </r>
  <r>
    <x v="0"/>
    <x v="4"/>
    <m/>
    <n v="2"/>
    <m/>
    <x v="0"/>
  </r>
  <r>
    <x v="2"/>
    <x v="5"/>
    <m/>
    <n v="2"/>
    <m/>
    <x v="0"/>
  </r>
  <r>
    <x v="0"/>
    <x v="6"/>
    <m/>
    <n v="3"/>
    <m/>
    <x v="1"/>
  </r>
  <r>
    <x v="1"/>
    <x v="7"/>
    <m/>
    <n v="8"/>
    <m/>
    <x v="0"/>
  </r>
  <r>
    <x v="2"/>
    <x v="8"/>
    <m/>
    <n v="3"/>
    <m/>
    <x v="0"/>
  </r>
  <r>
    <x v="0"/>
    <x v="9"/>
    <n v="1"/>
    <n v="2"/>
    <m/>
    <x v="0"/>
  </r>
  <r>
    <x v="1"/>
    <x v="10"/>
    <m/>
    <n v="5"/>
    <m/>
    <x v="0"/>
  </r>
  <r>
    <x v="1"/>
    <x v="11"/>
    <m/>
    <n v="17"/>
    <m/>
    <x v="1"/>
  </r>
  <r>
    <x v="2"/>
    <x v="12"/>
    <m/>
    <n v="4"/>
    <m/>
    <x v="1"/>
  </r>
  <r>
    <x v="0"/>
    <x v="13"/>
    <m/>
    <m/>
    <n v="1"/>
    <x v="0"/>
  </r>
  <r>
    <x v="2"/>
    <x v="14"/>
    <m/>
    <n v="6"/>
    <m/>
    <x v="1"/>
  </r>
  <r>
    <x v="1"/>
    <x v="15"/>
    <m/>
    <n v="3"/>
    <m/>
    <x v="0"/>
  </r>
  <r>
    <x v="3"/>
    <x v="16"/>
    <m/>
    <n v="2"/>
    <m/>
    <x v="0"/>
  </r>
  <r>
    <x v="0"/>
    <x v="17"/>
    <m/>
    <n v="3"/>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8" firstHeaderRow="0" firstDataRow="1" firstDataCol="1" rowPageCount="1" colPageCount="1"/>
  <pivotFields count="6">
    <pivotField axis="axisRow" showAll="0" defaultSubtotal="0">
      <items count="4">
        <item x="1"/>
        <item x="2"/>
        <item x="0"/>
        <item x="3"/>
      </items>
    </pivotField>
    <pivotField axis="axisPage" showAll="0">
      <items count="19">
        <item x="0"/>
        <item x="1"/>
        <item x="2"/>
        <item x="3"/>
        <item x="4"/>
        <item x="5"/>
        <item x="6"/>
        <item x="7"/>
        <item x="8"/>
        <item x="9"/>
        <item x="10"/>
        <item x="11"/>
        <item x="12"/>
        <item x="13"/>
        <item x="14"/>
        <item x="15"/>
        <item x="16"/>
        <item x="17"/>
        <item t="default"/>
      </items>
    </pivotField>
    <pivotField dataField="1" showAll="0"/>
    <pivotField dataField="1" showAll="0"/>
    <pivotField dataField="1" showAll="0"/>
    <pivotField dataField="1" showAll="0" defaultSubtotal="0">
      <items count="2">
        <item x="1"/>
        <item x="0"/>
      </items>
    </pivotField>
  </pivotFields>
  <rowFields count="1">
    <field x="0"/>
  </rowFields>
  <rowItems count="5">
    <i>
      <x/>
    </i>
    <i>
      <x v="1"/>
    </i>
    <i>
      <x v="2"/>
    </i>
    <i>
      <x v="3"/>
    </i>
    <i t="grand">
      <x/>
    </i>
  </rowItems>
  <colFields count="1">
    <field x="-2"/>
  </colFields>
  <colItems count="4">
    <i>
      <x/>
    </i>
    <i i="1">
      <x v="1"/>
    </i>
    <i i="2">
      <x v="2"/>
    </i>
    <i i="3">
      <x v="3"/>
    </i>
  </colItems>
  <pageFields count="1">
    <pageField fld="1" hier="-1"/>
  </pageFields>
  <dataFields count="4">
    <dataField name="Suma de otro periodo" fld="5" baseField="0" baseItem="0"/>
    <dataField name="Suma de En alerta" fld="2" baseField="0" baseItem="0"/>
    <dataField name="Suma de En cumplimiento" fld="3" baseField="0" baseItem="0"/>
    <dataField name="Suma de En ejecució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8"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98"/>
  <sheetViews>
    <sheetView showGridLines="0" topLeftCell="N54" zoomScale="115" zoomScaleNormal="115" zoomScaleSheetLayoutView="100" workbookViewId="0">
      <selection activeCell="T92" sqref="T92"/>
    </sheetView>
  </sheetViews>
  <sheetFormatPr baseColWidth="10" defaultColWidth="11.42578125" defaultRowHeight="12.75" x14ac:dyDescent="0.25"/>
  <cols>
    <col min="1" max="1" width="4.42578125" style="3" customWidth="1"/>
    <col min="2" max="2" width="2.85546875" style="4" customWidth="1"/>
    <col min="3" max="3" width="10.42578125" style="110" customWidth="1"/>
    <col min="4" max="4" width="49" style="111" customWidth="1"/>
    <col min="5" max="5" width="15" style="110" customWidth="1"/>
    <col min="6" max="6" width="14.42578125" style="111" customWidth="1"/>
    <col min="7" max="7" width="30.85546875" style="111" customWidth="1"/>
    <col min="8" max="8" width="18.5703125" style="3" customWidth="1"/>
    <col min="9" max="10" width="15.85546875" style="112" customWidth="1"/>
    <col min="11" max="11" width="12.140625" style="112" customWidth="1"/>
    <col min="12" max="12" width="15.7109375" style="112"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x14ac:dyDescent="0.3"/>
    <row r="2" spans="1:22" s="88" customFormat="1" ht="18.75" customHeight="1" thickBot="1" x14ac:dyDescent="0.3">
      <c r="B2" s="214"/>
      <c r="C2" s="217" t="s">
        <v>0</v>
      </c>
      <c r="D2" s="218"/>
      <c r="E2" s="219"/>
      <c r="F2" s="204" t="s">
        <v>1</v>
      </c>
      <c r="G2" s="205"/>
      <c r="H2" s="206"/>
      <c r="I2" s="206"/>
      <c r="J2" s="206"/>
      <c r="K2" s="206"/>
      <c r="L2" s="206"/>
      <c r="M2" s="206"/>
      <c r="N2" s="206"/>
      <c r="O2" s="206"/>
      <c r="P2" s="206"/>
      <c r="Q2" s="206"/>
      <c r="R2" s="206"/>
      <c r="S2" s="206"/>
      <c r="T2" s="229"/>
      <c r="U2" s="230"/>
    </row>
    <row r="3" spans="1:22" s="88" customFormat="1" ht="18.75" customHeight="1" thickBot="1" x14ac:dyDescent="0.3">
      <c r="B3" s="215"/>
      <c r="C3" s="220"/>
      <c r="D3" s="221"/>
      <c r="E3" s="222"/>
      <c r="F3" s="226"/>
      <c r="G3" s="227"/>
      <c r="H3" s="228"/>
      <c r="I3" s="228"/>
      <c r="J3" s="228"/>
      <c r="K3" s="228"/>
      <c r="L3" s="228"/>
      <c r="M3" s="228"/>
      <c r="N3" s="228"/>
      <c r="O3" s="228"/>
      <c r="P3" s="228"/>
      <c r="Q3" s="228"/>
      <c r="R3" s="228"/>
      <c r="S3" s="228"/>
      <c r="T3" s="229"/>
      <c r="U3" s="230"/>
    </row>
    <row r="4" spans="1:22" s="88" customFormat="1" ht="18.75" customHeight="1" thickBot="1" x14ac:dyDescent="0.3">
      <c r="B4" s="215"/>
      <c r="C4" s="223"/>
      <c r="D4" s="224"/>
      <c r="E4" s="225"/>
      <c r="F4" s="207"/>
      <c r="G4" s="208"/>
      <c r="H4" s="209"/>
      <c r="I4" s="209"/>
      <c r="J4" s="209"/>
      <c r="K4" s="209"/>
      <c r="L4" s="209"/>
      <c r="M4" s="209"/>
      <c r="N4" s="209"/>
      <c r="O4" s="209"/>
      <c r="P4" s="209"/>
      <c r="Q4" s="209"/>
      <c r="R4" s="209"/>
      <c r="S4" s="209"/>
      <c r="T4" s="231"/>
      <c r="U4" s="232"/>
    </row>
    <row r="5" spans="1:22" s="88" customFormat="1" ht="15" customHeight="1" x14ac:dyDescent="0.25">
      <c r="B5" s="215"/>
      <c r="C5" s="217" t="s">
        <v>2</v>
      </c>
      <c r="D5" s="218"/>
      <c r="E5" s="219"/>
      <c r="F5" s="204" t="s">
        <v>3</v>
      </c>
      <c r="G5" s="205"/>
      <c r="H5" s="206"/>
      <c r="I5" s="206"/>
      <c r="J5" s="206"/>
      <c r="K5" s="206"/>
      <c r="L5" s="206"/>
      <c r="M5" s="206"/>
      <c r="N5" s="206"/>
      <c r="O5" s="206"/>
      <c r="P5" s="206"/>
      <c r="Q5" s="206"/>
      <c r="R5" s="206"/>
      <c r="S5" s="206"/>
      <c r="T5" s="210"/>
      <c r="U5" s="211"/>
    </row>
    <row r="6" spans="1:22" s="88" customFormat="1" ht="15.75" customHeight="1" thickBot="1" x14ac:dyDescent="0.3">
      <c r="B6" s="216"/>
      <c r="C6" s="223"/>
      <c r="D6" s="224"/>
      <c r="E6" s="225"/>
      <c r="F6" s="207"/>
      <c r="G6" s="208"/>
      <c r="H6" s="209"/>
      <c r="I6" s="209"/>
      <c r="J6" s="209"/>
      <c r="K6" s="209"/>
      <c r="L6" s="209"/>
      <c r="M6" s="209"/>
      <c r="N6" s="209"/>
      <c r="O6" s="209"/>
      <c r="P6" s="209"/>
      <c r="Q6" s="209"/>
      <c r="R6" s="209"/>
      <c r="S6" s="209"/>
      <c r="T6" s="212"/>
      <c r="U6" s="213"/>
    </row>
    <row r="7" spans="1:22" ht="13.5" thickBot="1" x14ac:dyDescent="0.3"/>
    <row r="8" spans="1:22" ht="76.5" customHeight="1" x14ac:dyDescent="0.25">
      <c r="B8" s="138" t="s">
        <v>4</v>
      </c>
      <c r="C8" s="100" t="s">
        <v>5</v>
      </c>
      <c r="D8" s="100" t="s">
        <v>6</v>
      </c>
      <c r="E8" s="100" t="s">
        <v>7</v>
      </c>
      <c r="F8" s="100" t="s">
        <v>8</v>
      </c>
      <c r="G8" s="139" t="s">
        <v>9</v>
      </c>
      <c r="H8" s="100" t="s">
        <v>10</v>
      </c>
      <c r="I8" s="140" t="s">
        <v>11</v>
      </c>
      <c r="J8" s="100" t="s">
        <v>12</v>
      </c>
      <c r="K8" s="100" t="s">
        <v>13</v>
      </c>
      <c r="L8" s="100" t="s">
        <v>14</v>
      </c>
      <c r="M8" s="100" t="s">
        <v>15</v>
      </c>
      <c r="N8" s="100" t="s">
        <v>15</v>
      </c>
      <c r="O8" s="100" t="s">
        <v>15</v>
      </c>
      <c r="P8" s="100" t="s">
        <v>15</v>
      </c>
      <c r="Q8" s="100" t="s">
        <v>16</v>
      </c>
      <c r="R8" s="100" t="s">
        <v>17</v>
      </c>
      <c r="S8" s="100" t="s">
        <v>18</v>
      </c>
      <c r="T8" s="141" t="s">
        <v>19</v>
      </c>
      <c r="U8" s="137" t="s">
        <v>20</v>
      </c>
    </row>
    <row r="9" spans="1:22" s="105" customFormat="1" ht="66.75" hidden="1" customHeight="1" x14ac:dyDescent="0.25">
      <c r="B9" s="142">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22" t="s">
        <v>35</v>
      </c>
      <c r="U9" s="104" t="s">
        <v>36</v>
      </c>
    </row>
    <row r="10" spans="1:22" s="105" customFormat="1" ht="76.5" hidden="1" customHeight="1" x14ac:dyDescent="0.25">
      <c r="B10" s="142">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22" t="s">
        <v>35</v>
      </c>
      <c r="U10" s="104" t="s">
        <v>42</v>
      </c>
    </row>
    <row r="11" spans="1:22" s="105" customFormat="1" ht="76.5" hidden="1" customHeight="1" x14ac:dyDescent="0.25">
      <c r="B11" s="142">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22" t="s">
        <v>35</v>
      </c>
      <c r="U11" s="104" t="s">
        <v>49</v>
      </c>
    </row>
    <row r="12" spans="1:22" ht="76.5" hidden="1" customHeight="1" x14ac:dyDescent="0.25">
      <c r="A12" s="105"/>
      <c r="B12" s="142">
        <f>B11+1</f>
        <v>4</v>
      </c>
      <c r="C12" s="106" t="s">
        <v>21</v>
      </c>
      <c r="D12" s="106" t="s">
        <v>22</v>
      </c>
      <c r="E12" s="106" t="s">
        <v>50</v>
      </c>
      <c r="F12" s="106" t="s">
        <v>51</v>
      </c>
      <c r="G12" s="106" t="s">
        <v>52</v>
      </c>
      <c r="H12" s="1" t="s">
        <v>26</v>
      </c>
      <c r="I12" s="5" t="s">
        <v>53</v>
      </c>
      <c r="J12" s="5" t="s">
        <v>39</v>
      </c>
      <c r="K12" s="5" t="s">
        <v>29</v>
      </c>
      <c r="L12" s="5" t="s">
        <v>30</v>
      </c>
      <c r="M12" s="149" t="s">
        <v>54</v>
      </c>
      <c r="N12" s="1" t="s">
        <v>55</v>
      </c>
      <c r="O12" s="149"/>
      <c r="P12" s="1"/>
      <c r="Q12" s="5" t="s">
        <v>33</v>
      </c>
      <c r="R12" s="5" t="s">
        <v>34</v>
      </c>
      <c r="S12" s="74">
        <v>1</v>
      </c>
      <c r="T12" s="122" t="s">
        <v>35</v>
      </c>
      <c r="U12" s="104" t="s">
        <v>56</v>
      </c>
      <c r="V12" s="105"/>
    </row>
    <row r="13" spans="1:22" s="4" customFormat="1" ht="104.25" hidden="1" customHeight="1" x14ac:dyDescent="0.25">
      <c r="A13" s="105"/>
      <c r="B13" s="142">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22" t="s">
        <v>35</v>
      </c>
      <c r="U13" s="104" t="s">
        <v>61</v>
      </c>
      <c r="V13" s="105"/>
    </row>
    <row r="14" spans="1:22" s="4" customFormat="1" ht="76.5" hidden="1" customHeight="1" x14ac:dyDescent="0.25">
      <c r="A14" s="105"/>
      <c r="B14" s="142">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1" t="s">
        <v>72</v>
      </c>
      <c r="U14" s="104" t="s">
        <v>73</v>
      </c>
      <c r="V14" s="105"/>
    </row>
    <row r="15" spans="1:22" s="105" customFormat="1" ht="76.5" hidden="1" customHeight="1" x14ac:dyDescent="0.25">
      <c r="B15" s="142">
        <f t="shared" ref="B15:B78" si="0">B14+1</f>
        <v>7</v>
      </c>
      <c r="C15" s="1" t="s">
        <v>62</v>
      </c>
      <c r="D15" s="1" t="s">
        <v>63</v>
      </c>
      <c r="E15" s="1" t="s">
        <v>74</v>
      </c>
      <c r="F15" s="1" t="s">
        <v>75</v>
      </c>
      <c r="G15" s="1" t="s">
        <v>76</v>
      </c>
      <c r="H15" s="1" t="s">
        <v>67</v>
      </c>
      <c r="I15" s="1" t="s">
        <v>27</v>
      </c>
      <c r="J15" s="1" t="s">
        <v>68</v>
      </c>
      <c r="K15" s="1" t="s">
        <v>29</v>
      </c>
      <c r="L15" s="1" t="s">
        <v>69</v>
      </c>
      <c r="M15" s="149" t="s">
        <v>77</v>
      </c>
      <c r="N15" s="1" t="s">
        <v>78</v>
      </c>
      <c r="O15" s="149"/>
      <c r="P15" s="1"/>
      <c r="Q15" s="5" t="s">
        <v>33</v>
      </c>
      <c r="R15" s="5" t="s">
        <v>34</v>
      </c>
      <c r="S15" s="74">
        <v>1</v>
      </c>
      <c r="T15" s="121" t="s">
        <v>72</v>
      </c>
      <c r="U15" s="104" t="s">
        <v>79</v>
      </c>
    </row>
    <row r="16" spans="1:22" ht="50.25" hidden="1" customHeight="1" x14ac:dyDescent="0.25">
      <c r="B16" s="134">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3"/>
      <c r="U16" s="60"/>
    </row>
    <row r="17" spans="1:22" s="4" customFormat="1" ht="76.5" hidden="1" customHeight="1" x14ac:dyDescent="0.25">
      <c r="A17" s="105"/>
      <c r="B17" s="142">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23" t="s">
        <v>91</v>
      </c>
      <c r="U17" s="104" t="s">
        <v>92</v>
      </c>
      <c r="V17" s="105"/>
    </row>
    <row r="18" spans="1:22" s="109" customFormat="1" ht="93.75" hidden="1" customHeight="1" x14ac:dyDescent="0.25">
      <c r="A18" s="3"/>
      <c r="B18" s="142">
        <f t="shared" si="0"/>
        <v>10</v>
      </c>
      <c r="C18" s="130" t="s">
        <v>62</v>
      </c>
      <c r="D18" s="131" t="s">
        <v>80</v>
      </c>
      <c r="E18" s="130" t="s">
        <v>93</v>
      </c>
      <c r="F18" s="130" t="s">
        <v>94</v>
      </c>
      <c r="G18" s="132" t="s">
        <v>95</v>
      </c>
      <c r="H18" s="131" t="s">
        <v>67</v>
      </c>
      <c r="I18" s="131" t="s">
        <v>46</v>
      </c>
      <c r="J18" s="131" t="s">
        <v>39</v>
      </c>
      <c r="K18" s="131" t="s">
        <v>29</v>
      </c>
      <c r="L18" s="131" t="s">
        <v>69</v>
      </c>
      <c r="M18" s="132" t="s">
        <v>96</v>
      </c>
      <c r="N18" s="132" t="s">
        <v>97</v>
      </c>
      <c r="O18" s="130"/>
      <c r="P18" s="130"/>
      <c r="Q18" s="131" t="s">
        <v>33</v>
      </c>
      <c r="R18" s="131" t="s">
        <v>34</v>
      </c>
      <c r="S18" s="133">
        <v>0.7</v>
      </c>
      <c r="T18" s="122" t="s">
        <v>35</v>
      </c>
      <c r="U18" s="60" t="s">
        <v>98</v>
      </c>
      <c r="V18" s="3"/>
    </row>
    <row r="19" spans="1:22" s="118" customFormat="1" ht="93.75" hidden="1" customHeight="1" x14ac:dyDescent="0.25">
      <c r="A19" s="4"/>
      <c r="B19" s="142">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23" t="s">
        <v>91</v>
      </c>
      <c r="U19" s="144" t="s">
        <v>103</v>
      </c>
    </row>
    <row r="20" spans="1:22" s="105" customFormat="1" ht="93" hidden="1" customHeight="1" x14ac:dyDescent="0.25">
      <c r="A20" s="4"/>
      <c r="B20" s="142">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23" t="s">
        <v>91</v>
      </c>
      <c r="U20" s="115" t="s">
        <v>108</v>
      </c>
      <c r="V20" s="118"/>
    </row>
    <row r="21" spans="1:22" s="105" customFormat="1" ht="99.75" hidden="1" customHeight="1" x14ac:dyDescent="0.25">
      <c r="B21" s="142">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22" t="s">
        <v>35</v>
      </c>
      <c r="U21" s="104" t="s">
        <v>113</v>
      </c>
    </row>
    <row r="22" spans="1:22" s="105" customFormat="1" ht="93" hidden="1" customHeight="1" x14ac:dyDescent="0.25">
      <c r="A22" s="4"/>
      <c r="B22" s="142">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22" t="s">
        <v>35</v>
      </c>
      <c r="U22" s="115" t="s">
        <v>119</v>
      </c>
      <c r="V22" s="4"/>
    </row>
    <row r="23" spans="1:22" s="105" customFormat="1" ht="93" hidden="1" customHeight="1" x14ac:dyDescent="0.25">
      <c r="A23" s="109"/>
      <c r="B23" s="142">
        <f t="shared" si="0"/>
        <v>15</v>
      </c>
      <c r="C23" s="107" t="s">
        <v>120</v>
      </c>
      <c r="D23" s="107" t="s">
        <v>121</v>
      </c>
      <c r="E23" s="107" t="s">
        <v>122</v>
      </c>
      <c r="F23" s="107" t="s">
        <v>123</v>
      </c>
      <c r="G23" s="107" t="s">
        <v>124</v>
      </c>
      <c r="H23" s="107" t="s">
        <v>125</v>
      </c>
      <c r="I23" s="83" t="s">
        <v>53</v>
      </c>
      <c r="J23" s="83" t="s">
        <v>39</v>
      </c>
      <c r="K23" s="83" t="s">
        <v>29</v>
      </c>
      <c r="L23" s="83" t="s">
        <v>126</v>
      </c>
      <c r="M23" s="107" t="s">
        <v>127</v>
      </c>
      <c r="N23" s="107" t="s">
        <v>128</v>
      </c>
      <c r="O23" s="107"/>
      <c r="P23" s="107"/>
      <c r="Q23" s="83" t="s">
        <v>33</v>
      </c>
      <c r="R23" s="83" t="s">
        <v>34</v>
      </c>
      <c r="S23" s="81">
        <v>1</v>
      </c>
      <c r="T23" s="122" t="s">
        <v>35</v>
      </c>
      <c r="U23" s="108" t="s">
        <v>129</v>
      </c>
      <c r="V23" s="109"/>
    </row>
    <row r="24" spans="1:22" s="105" customFormat="1" ht="93" hidden="1" customHeight="1" x14ac:dyDescent="0.25">
      <c r="A24" s="118"/>
      <c r="B24" s="142">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22" t="s">
        <v>35</v>
      </c>
      <c r="U24" s="119" t="s">
        <v>136</v>
      </c>
      <c r="V24" s="118"/>
    </row>
    <row r="25" spans="1:22" s="105" customFormat="1" ht="115.5" hidden="1" customHeight="1" x14ac:dyDescent="0.25">
      <c r="B25" s="142">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23" t="s">
        <v>91</v>
      </c>
      <c r="U25" s="104" t="s">
        <v>146</v>
      </c>
    </row>
    <row r="26" spans="1:22" s="105" customFormat="1" ht="115.5" hidden="1" customHeight="1" x14ac:dyDescent="0.25">
      <c r="B26" s="142">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45">
        <v>1</v>
      </c>
      <c r="T26" s="122" t="s">
        <v>35</v>
      </c>
      <c r="U26" s="104" t="s">
        <v>151</v>
      </c>
    </row>
    <row r="27" spans="1:22" s="105" customFormat="1" ht="84" hidden="1" customHeight="1" x14ac:dyDescent="0.25">
      <c r="B27" s="142">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22" t="s">
        <v>35</v>
      </c>
      <c r="U27" s="104" t="s">
        <v>161</v>
      </c>
    </row>
    <row r="28" spans="1:22" s="105" customFormat="1" ht="84" hidden="1" customHeight="1" x14ac:dyDescent="0.25">
      <c r="B28" s="142">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17">
        <v>1</v>
      </c>
      <c r="T28" s="122" t="s">
        <v>35</v>
      </c>
      <c r="U28" s="104" t="s">
        <v>167</v>
      </c>
    </row>
    <row r="29" spans="1:22" s="105" customFormat="1" ht="84" hidden="1" customHeight="1" x14ac:dyDescent="0.25">
      <c r="B29" s="142">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22" t="s">
        <v>35</v>
      </c>
      <c r="U29" s="104" t="s">
        <v>176</v>
      </c>
    </row>
    <row r="30" spans="1:22" s="105" customFormat="1" ht="100.5" hidden="1" customHeight="1" x14ac:dyDescent="0.25">
      <c r="B30" s="142">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22" t="s">
        <v>35</v>
      </c>
      <c r="U30" s="104" t="s">
        <v>176</v>
      </c>
    </row>
    <row r="31" spans="1:22" s="105" customFormat="1" ht="100.5" hidden="1" customHeight="1" x14ac:dyDescent="0.25">
      <c r="B31" s="143">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22" t="s">
        <v>35</v>
      </c>
      <c r="U31" s="104" t="s">
        <v>191</v>
      </c>
    </row>
    <row r="32" spans="1:22" s="105" customFormat="1" ht="113.25" hidden="1" customHeight="1" x14ac:dyDescent="0.25">
      <c r="B32" s="143">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22" t="s">
        <v>35</v>
      </c>
      <c r="U32" s="104" t="s">
        <v>191</v>
      </c>
    </row>
    <row r="33" spans="1:22" s="105" customFormat="1" ht="113.25" hidden="1" customHeight="1" x14ac:dyDescent="0.25">
      <c r="B33" s="143">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22" t="s">
        <v>35</v>
      </c>
      <c r="U33" s="104" t="s">
        <v>191</v>
      </c>
    </row>
    <row r="34" spans="1:22" s="105" customFormat="1" ht="113.25" hidden="1" customHeight="1" x14ac:dyDescent="0.25">
      <c r="B34" s="143">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22" t="s">
        <v>35</v>
      </c>
      <c r="U34" s="104" t="s">
        <v>205</v>
      </c>
    </row>
    <row r="35" spans="1:22" s="105" customFormat="1" ht="91.5" hidden="1" customHeight="1" x14ac:dyDescent="0.25">
      <c r="B35" s="142">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23" t="s">
        <v>91</v>
      </c>
      <c r="U35" s="104" t="s">
        <v>215</v>
      </c>
    </row>
    <row r="36" spans="1:22" s="105" customFormat="1" ht="204" hidden="1" x14ac:dyDescent="0.25">
      <c r="B36" s="142">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23" t="s">
        <v>91</v>
      </c>
      <c r="U36" s="104" t="s">
        <v>221</v>
      </c>
    </row>
    <row r="37" spans="1:22" s="105" customFormat="1" ht="204" hidden="1" x14ac:dyDescent="0.25">
      <c r="B37" s="142">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22" t="s">
        <v>35</v>
      </c>
      <c r="U37" s="104" t="s">
        <v>227</v>
      </c>
    </row>
    <row r="38" spans="1:22" s="105" customFormat="1" ht="91.5" hidden="1" customHeight="1" x14ac:dyDescent="0.25">
      <c r="B38" s="142">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22" t="s">
        <v>35</v>
      </c>
      <c r="U38" s="104" t="s">
        <v>232</v>
      </c>
    </row>
    <row r="39" spans="1:22" ht="68.25" hidden="1" customHeight="1" x14ac:dyDescent="0.25">
      <c r="A39" s="105"/>
      <c r="B39" s="142">
        <f t="shared" si="0"/>
        <v>31</v>
      </c>
      <c r="C39" s="1" t="s">
        <v>206</v>
      </c>
      <c r="D39" s="1" t="s">
        <v>207</v>
      </c>
      <c r="E39" s="1" t="s">
        <v>216</v>
      </c>
      <c r="F39" s="1" t="s">
        <v>233</v>
      </c>
      <c r="G39" s="148" t="s">
        <v>234</v>
      </c>
      <c r="H39" s="1" t="s">
        <v>211</v>
      </c>
      <c r="I39" s="1" t="s">
        <v>27</v>
      </c>
      <c r="J39" s="1" t="s">
        <v>68</v>
      </c>
      <c r="K39" s="1" t="s">
        <v>29</v>
      </c>
      <c r="L39" s="1" t="s">
        <v>69</v>
      </c>
      <c r="M39" s="1" t="s">
        <v>235</v>
      </c>
      <c r="N39" s="1" t="s">
        <v>236</v>
      </c>
      <c r="O39" s="1"/>
      <c r="P39" s="1"/>
      <c r="Q39" s="5" t="s">
        <v>214</v>
      </c>
      <c r="R39" s="5" t="s">
        <v>34</v>
      </c>
      <c r="S39" s="74">
        <v>1</v>
      </c>
      <c r="T39" s="123" t="s">
        <v>91</v>
      </c>
      <c r="U39" s="104" t="s">
        <v>237</v>
      </c>
      <c r="V39" s="105"/>
    </row>
    <row r="40" spans="1:22" s="105" customFormat="1" ht="87" hidden="1" customHeight="1" x14ac:dyDescent="0.25">
      <c r="B40" s="142">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23" t="s">
        <v>91</v>
      </c>
      <c r="U40" s="104" t="s">
        <v>243</v>
      </c>
    </row>
    <row r="41" spans="1:22" s="4" customFormat="1" ht="102" hidden="1" customHeight="1" x14ac:dyDescent="0.25">
      <c r="A41" s="105"/>
      <c r="B41" s="142">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23" t="s">
        <v>91</v>
      </c>
      <c r="U41" s="104" t="s">
        <v>248</v>
      </c>
      <c r="V41" s="105"/>
    </row>
    <row r="42" spans="1:22" s="4" customFormat="1" ht="102" hidden="1" customHeight="1" x14ac:dyDescent="0.25">
      <c r="A42" s="105"/>
      <c r="B42" s="142">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23" t="s">
        <v>91</v>
      </c>
      <c r="U42" s="104" t="s">
        <v>252</v>
      </c>
      <c r="V42" s="105"/>
    </row>
    <row r="43" spans="1:22" s="4" customFormat="1" ht="102" hidden="1" customHeight="1" x14ac:dyDescent="0.25">
      <c r="A43" s="105"/>
      <c r="B43" s="142">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1" t="s">
        <v>72</v>
      </c>
      <c r="U43" s="104" t="s">
        <v>261</v>
      </c>
      <c r="V43" s="105"/>
    </row>
    <row r="44" spans="1:22" s="105" customFormat="1" ht="93.75" hidden="1" customHeight="1" x14ac:dyDescent="0.25">
      <c r="A44" s="3"/>
      <c r="B44" s="142">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22" t="s">
        <v>35</v>
      </c>
      <c r="U44" s="104" t="s">
        <v>269</v>
      </c>
      <c r="V44" s="3"/>
    </row>
    <row r="45" spans="1:22" s="105" customFormat="1" ht="78.75" customHeight="1" x14ac:dyDescent="0.25">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36"/>
      <c r="U45" s="104" t="s">
        <v>276</v>
      </c>
    </row>
    <row r="46" spans="1:22" s="105" customFormat="1" ht="93.75" hidden="1" customHeight="1" x14ac:dyDescent="0.25">
      <c r="A46" s="4"/>
      <c r="B46" s="142">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22" t="s">
        <v>35</v>
      </c>
      <c r="U46" s="115" t="s">
        <v>285</v>
      </c>
    </row>
    <row r="47" spans="1:22" s="105" customFormat="1" ht="93.75" hidden="1" customHeight="1" x14ac:dyDescent="0.25">
      <c r="A47" s="4"/>
      <c r="B47" s="142">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22" t="s">
        <v>35</v>
      </c>
      <c r="U47" s="115" t="s">
        <v>292</v>
      </c>
    </row>
    <row r="48" spans="1:22" s="105" customFormat="1" ht="93.75" hidden="1" customHeight="1" x14ac:dyDescent="0.25">
      <c r="A48" s="4"/>
      <c r="B48" s="142">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22" t="s">
        <v>35</v>
      </c>
      <c r="U48" s="115" t="s">
        <v>298</v>
      </c>
    </row>
    <row r="49" spans="1:22" s="105" customFormat="1" ht="93.75" hidden="1" customHeight="1" x14ac:dyDescent="0.25">
      <c r="B49" s="143">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22" t="s">
        <v>35</v>
      </c>
      <c r="U49" s="104" t="s">
        <v>92</v>
      </c>
    </row>
    <row r="50" spans="1:22" s="105" customFormat="1" ht="108" hidden="1" customHeight="1" x14ac:dyDescent="0.25">
      <c r="B50" s="143">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22" t="s">
        <v>35</v>
      </c>
      <c r="U50" s="104" t="s">
        <v>92</v>
      </c>
    </row>
    <row r="51" spans="1:22" s="105" customFormat="1" ht="112.5" customHeight="1" x14ac:dyDescent="0.25">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36"/>
      <c r="U51" s="104" t="s">
        <v>317</v>
      </c>
    </row>
    <row r="52" spans="1:22" s="4" customFormat="1" ht="114.75" x14ac:dyDescent="0.2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36"/>
      <c r="U52" s="104" t="s">
        <v>317</v>
      </c>
      <c r="V52" s="105"/>
    </row>
    <row r="53" spans="1:22" ht="27.75" hidden="1" customHeight="1" x14ac:dyDescent="0.25">
      <c r="B53" s="134">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3"/>
      <c r="U53" s="60"/>
    </row>
    <row r="54" spans="1:22" s="105" customFormat="1" ht="103.5" customHeight="1" x14ac:dyDescent="0.25">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36"/>
      <c r="U54" s="104" t="s">
        <v>317</v>
      </c>
    </row>
    <row r="55" spans="1:22" s="105" customFormat="1" ht="98.25" hidden="1" customHeight="1" x14ac:dyDescent="0.25">
      <c r="B55" s="142">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22" t="s">
        <v>35</v>
      </c>
      <c r="U55" s="104" t="s">
        <v>343</v>
      </c>
    </row>
    <row r="56" spans="1:22" s="105" customFormat="1" ht="98.25" hidden="1" customHeight="1" x14ac:dyDescent="0.25">
      <c r="B56" s="142">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23" t="s">
        <v>91</v>
      </c>
      <c r="U56" s="104" t="s">
        <v>349</v>
      </c>
    </row>
    <row r="57" spans="1:22" s="105" customFormat="1" ht="98.25" hidden="1" customHeight="1" x14ac:dyDescent="0.25">
      <c r="B57" s="142">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23" t="s">
        <v>91</v>
      </c>
      <c r="U57" s="104" t="s">
        <v>352</v>
      </c>
    </row>
    <row r="58" spans="1:22" s="105" customFormat="1" ht="98.25" hidden="1" customHeight="1" x14ac:dyDescent="0.25">
      <c r="B58" s="142">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23" t="s">
        <v>91</v>
      </c>
      <c r="U58" s="104" t="s">
        <v>92</v>
      </c>
    </row>
    <row r="59" spans="1:22" s="105" customFormat="1" ht="98.25" hidden="1" customHeight="1" x14ac:dyDescent="0.25">
      <c r="B59" s="142">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23" t="s">
        <v>91</v>
      </c>
      <c r="U59" s="104" t="s">
        <v>92</v>
      </c>
    </row>
    <row r="60" spans="1:22" s="105" customFormat="1" ht="68.25" hidden="1" customHeight="1" x14ac:dyDescent="0.25">
      <c r="B60" s="142">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23" t="s">
        <v>91</v>
      </c>
      <c r="U60" s="104" t="s">
        <v>359</v>
      </c>
    </row>
    <row r="61" spans="1:22" s="105" customFormat="1" ht="68.25" hidden="1" customHeight="1" x14ac:dyDescent="0.25">
      <c r="B61" s="142">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23" t="s">
        <v>91</v>
      </c>
      <c r="U61" s="104" t="s">
        <v>362</v>
      </c>
    </row>
    <row r="62" spans="1:22" s="105" customFormat="1" ht="68.25" hidden="1" customHeight="1" x14ac:dyDescent="0.25">
      <c r="B62" s="142">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22" t="s">
        <v>35</v>
      </c>
      <c r="U62" s="104" t="s">
        <v>362</v>
      </c>
    </row>
    <row r="63" spans="1:22" s="105" customFormat="1" ht="68.25" hidden="1" customHeight="1" x14ac:dyDescent="0.25">
      <c r="B63" s="142">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22" t="s">
        <v>35</v>
      </c>
      <c r="U63" s="104" t="s">
        <v>362</v>
      </c>
    </row>
    <row r="64" spans="1:22" s="105" customFormat="1" ht="68.25" hidden="1" customHeight="1" x14ac:dyDescent="0.25">
      <c r="B64" s="142">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22" t="s">
        <v>35</v>
      </c>
      <c r="U64" s="104" t="s">
        <v>373</v>
      </c>
    </row>
    <row r="65" spans="1:22" s="105" customFormat="1" ht="77.25" hidden="1" customHeight="1" x14ac:dyDescent="0.25">
      <c r="B65" s="142">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22" t="s">
        <v>35</v>
      </c>
      <c r="U65" s="104" t="s">
        <v>373</v>
      </c>
    </row>
    <row r="66" spans="1:22" s="105" customFormat="1" ht="77.25" hidden="1" customHeight="1" x14ac:dyDescent="0.25">
      <c r="A66" s="4"/>
      <c r="B66" s="142">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22" t="s">
        <v>35</v>
      </c>
      <c r="U66" s="115" t="s">
        <v>92</v>
      </c>
      <c r="V66" s="4"/>
    </row>
    <row r="67" spans="1:22" s="105" customFormat="1" ht="77.25" hidden="1" customHeight="1" x14ac:dyDescent="0.25">
      <c r="B67" s="142">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22" t="s">
        <v>35</v>
      </c>
      <c r="U67" s="104" t="s">
        <v>373</v>
      </c>
    </row>
    <row r="68" spans="1:22" s="105" customFormat="1" ht="77.25" hidden="1" customHeight="1" x14ac:dyDescent="0.25">
      <c r="B68" s="142">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22" t="s">
        <v>35</v>
      </c>
      <c r="U68" s="104" t="s">
        <v>386</v>
      </c>
    </row>
    <row r="69" spans="1:22" s="105" customFormat="1" ht="77.25" hidden="1" customHeight="1" x14ac:dyDescent="0.25">
      <c r="B69" s="142">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22" t="s">
        <v>35</v>
      </c>
      <c r="U69" s="104" t="s">
        <v>392</v>
      </c>
    </row>
    <row r="70" spans="1:22" s="105" customFormat="1" ht="77.25" hidden="1" customHeight="1" x14ac:dyDescent="0.25">
      <c r="B70" s="142">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22" t="s">
        <v>35</v>
      </c>
      <c r="U70" s="104" t="s">
        <v>397</v>
      </c>
    </row>
    <row r="71" spans="1:22" s="105" customFormat="1" ht="77.25" hidden="1" customHeight="1" x14ac:dyDescent="0.25">
      <c r="B71" s="142">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1" t="s">
        <v>72</v>
      </c>
      <c r="U71" s="104" t="s">
        <v>373</v>
      </c>
    </row>
    <row r="72" spans="1:22" s="105" customFormat="1" ht="77.25" hidden="1" customHeight="1" x14ac:dyDescent="0.25">
      <c r="B72" s="114">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22" t="s">
        <v>35</v>
      </c>
      <c r="U72" s="104" t="s">
        <v>410</v>
      </c>
    </row>
    <row r="73" spans="1:22" s="105" customFormat="1" ht="77.25" hidden="1" customHeight="1" x14ac:dyDescent="0.25">
      <c r="B73" s="114">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22" t="s">
        <v>35</v>
      </c>
      <c r="U73" s="104" t="s">
        <v>415</v>
      </c>
    </row>
    <row r="74" spans="1:22" s="105" customFormat="1" ht="77.25" hidden="1" customHeight="1" x14ac:dyDescent="0.25">
      <c r="B74" s="114">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22" t="s">
        <v>35</v>
      </c>
      <c r="U74" s="104" t="s">
        <v>420</v>
      </c>
      <c r="V74" s="105" t="s">
        <v>421</v>
      </c>
    </row>
    <row r="75" spans="1:22" s="105" customFormat="1" ht="77.25" hidden="1" customHeight="1" x14ac:dyDescent="0.25">
      <c r="B75" s="114">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22" t="s">
        <v>35</v>
      </c>
      <c r="U75" s="104" t="s">
        <v>424</v>
      </c>
    </row>
    <row r="76" spans="1:22" s="4" customFormat="1" ht="77.25" customHeight="1" x14ac:dyDescent="0.25">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36" t="s">
        <v>434</v>
      </c>
      <c r="U76" s="115" t="s">
        <v>435</v>
      </c>
    </row>
    <row r="77" spans="1:22" s="105" customFormat="1" ht="77.25" hidden="1" customHeight="1" x14ac:dyDescent="0.25">
      <c r="B77" s="142">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22" t="s">
        <v>35</v>
      </c>
      <c r="U77" s="104" t="s">
        <v>442</v>
      </c>
    </row>
    <row r="78" spans="1:22" s="105" customFormat="1" ht="29.25" hidden="1" customHeight="1" x14ac:dyDescent="0.25">
      <c r="B78" s="134">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3"/>
      <c r="U78" s="104"/>
    </row>
    <row r="79" spans="1:22" s="105" customFormat="1" ht="67.5" hidden="1" customHeight="1" x14ac:dyDescent="0.25">
      <c r="B79" s="142">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22" t="s">
        <v>35</v>
      </c>
      <c r="U79" s="104" t="s">
        <v>451</v>
      </c>
    </row>
    <row r="80" spans="1:22" s="105" customFormat="1" ht="71.25" hidden="1" customHeight="1" x14ac:dyDescent="0.25">
      <c r="B80" s="142">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22" t="s">
        <v>35</v>
      </c>
      <c r="U80" s="104" t="s">
        <v>451</v>
      </c>
    </row>
    <row r="81" spans="2:21" s="105" customFormat="1" ht="77.25" hidden="1" customHeight="1" x14ac:dyDescent="0.25">
      <c r="B81" s="142">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22" t="s">
        <v>35</v>
      </c>
      <c r="U81" s="104" t="s">
        <v>451</v>
      </c>
    </row>
    <row r="82" spans="2:21" s="105" customFormat="1" ht="77.25" hidden="1" customHeight="1" x14ac:dyDescent="0.25">
      <c r="B82" s="142">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22" t="s">
        <v>35</v>
      </c>
      <c r="U82" s="104" t="s">
        <v>465</v>
      </c>
    </row>
    <row r="83" spans="2:21" s="105" customFormat="1" ht="84.75" hidden="1" customHeight="1" x14ac:dyDescent="0.25">
      <c r="B83" s="142">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22" t="s">
        <v>35</v>
      </c>
      <c r="U83" s="104" t="s">
        <v>470</v>
      </c>
    </row>
    <row r="84" spans="2:21" s="105" customFormat="1" ht="84.75" hidden="1" customHeight="1" x14ac:dyDescent="0.25">
      <c r="B84" s="142">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22" t="s">
        <v>35</v>
      </c>
      <c r="U84" s="104" t="s">
        <v>479</v>
      </c>
    </row>
    <row r="85" spans="2:21" s="105" customFormat="1" ht="51.75" hidden="1" customHeight="1" x14ac:dyDescent="0.25">
      <c r="B85" s="142">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22" t="s">
        <v>35</v>
      </c>
      <c r="U85" s="104" t="s">
        <v>486</v>
      </c>
    </row>
    <row r="86" spans="2:21" s="105" customFormat="1" ht="122.25" hidden="1" customHeight="1" x14ac:dyDescent="0.25">
      <c r="B86" s="142">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22" t="s">
        <v>35</v>
      </c>
      <c r="U86" s="104" t="s">
        <v>495</v>
      </c>
    </row>
    <row r="87" spans="2:21" s="105" customFormat="1" ht="98.25" hidden="1" customHeight="1" x14ac:dyDescent="0.25">
      <c r="B87" s="142">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22" t="s">
        <v>35</v>
      </c>
      <c r="U87" s="104" t="s">
        <v>92</v>
      </c>
    </row>
    <row r="88" spans="2:21" s="105" customFormat="1" ht="130.5" hidden="1" customHeight="1" x14ac:dyDescent="0.25">
      <c r="B88" s="142">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22" t="s">
        <v>35</v>
      </c>
      <c r="U88" s="104" t="s">
        <v>509</v>
      </c>
    </row>
    <row r="89" spans="2:21" s="105" customFormat="1" ht="29.25" hidden="1" customHeight="1" x14ac:dyDescent="0.25">
      <c r="B89" s="134">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3"/>
      <c r="U89" s="104" t="s">
        <v>515</v>
      </c>
    </row>
    <row r="90" spans="2:21" s="105" customFormat="1" ht="93" hidden="1" customHeight="1" x14ac:dyDescent="0.25">
      <c r="B90" s="142">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22" t="s">
        <v>35</v>
      </c>
      <c r="U90" s="104" t="s">
        <v>521</v>
      </c>
    </row>
    <row r="91" spans="2:21" s="105" customFormat="1" ht="80.25" hidden="1" customHeight="1" thickBot="1" x14ac:dyDescent="0.3">
      <c r="B91" s="142">
        <f t="shared" si="1"/>
        <v>83</v>
      </c>
      <c r="C91" s="116" t="s">
        <v>502</v>
      </c>
      <c r="D91" s="1" t="s">
        <v>503</v>
      </c>
      <c r="E91" s="1" t="s">
        <v>522</v>
      </c>
      <c r="F91" s="1" t="s">
        <v>523</v>
      </c>
      <c r="G91" s="1" t="s">
        <v>524</v>
      </c>
      <c r="H91" s="1" t="s">
        <v>26</v>
      </c>
      <c r="I91" s="1" t="s">
        <v>53</v>
      </c>
      <c r="J91" s="116" t="s">
        <v>39</v>
      </c>
      <c r="K91" s="1" t="s">
        <v>265</v>
      </c>
      <c r="L91" s="1" t="s">
        <v>30</v>
      </c>
      <c r="M91" s="1" t="s">
        <v>525</v>
      </c>
      <c r="N91" s="1" t="s">
        <v>526</v>
      </c>
      <c r="O91" s="1"/>
      <c r="P91" s="1"/>
      <c r="Q91" s="5" t="s">
        <v>527</v>
      </c>
      <c r="R91" s="5" t="s">
        <v>34</v>
      </c>
      <c r="S91" s="5" t="s">
        <v>528</v>
      </c>
      <c r="T91" s="123" t="s">
        <v>91</v>
      </c>
      <c r="U91" s="104" t="s">
        <v>529</v>
      </c>
    </row>
    <row r="93" spans="2:21" ht="13.5" thickBot="1" x14ac:dyDescent="0.3"/>
    <row r="94" spans="2:21" ht="60" customHeight="1" thickBot="1" x14ac:dyDescent="0.3">
      <c r="B94" s="128" t="s">
        <v>530</v>
      </c>
      <c r="C94" s="129"/>
      <c r="D94" s="129"/>
      <c r="E94" s="129"/>
      <c r="F94" s="129"/>
      <c r="G94" s="129"/>
      <c r="H94" s="129"/>
      <c r="I94" s="125"/>
      <c r="J94" s="125"/>
      <c r="K94" s="125"/>
      <c r="L94" s="125"/>
      <c r="M94" s="129"/>
      <c r="N94" s="129"/>
      <c r="O94" s="129"/>
      <c r="P94" s="129"/>
      <c r="Q94" s="125"/>
      <c r="R94" s="125"/>
      <c r="S94" s="125"/>
      <c r="T94" s="129"/>
      <c r="U94" s="155"/>
    </row>
    <row r="96" spans="2:21" x14ac:dyDescent="0.25">
      <c r="D96" s="111">
        <v>2</v>
      </c>
    </row>
    <row r="97" spans="4:4" x14ac:dyDescent="0.25">
      <c r="D97" s="111">
        <v>7</v>
      </c>
    </row>
    <row r="98" spans="4:4" x14ac:dyDescent="0.25">
      <c r="D98" s="111">
        <v>3</v>
      </c>
    </row>
  </sheetData>
  <autoFilter ref="A8:V91" xr:uid="{00000000-0009-0000-0000-000000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x14ac:dyDescent="0.25">
      <c r="A1" s="299" t="s">
        <v>1088</v>
      </c>
      <c r="B1" s="299" t="s">
        <v>1089</v>
      </c>
      <c r="C1" s="299" t="s">
        <v>1090</v>
      </c>
      <c r="D1" s="299" t="s">
        <v>1091</v>
      </c>
      <c r="E1" s="299" t="s">
        <v>1092</v>
      </c>
      <c r="F1" s="299" t="s">
        <v>1093</v>
      </c>
      <c r="G1" s="299" t="s">
        <v>1094</v>
      </c>
      <c r="H1" s="159"/>
      <c r="I1" s="159" t="s">
        <v>1095</v>
      </c>
      <c r="J1" s="159"/>
      <c r="K1" s="299" t="s">
        <v>1096</v>
      </c>
    </row>
    <row r="2" spans="1:11" ht="15" customHeight="1" x14ac:dyDescent="0.25">
      <c r="A2" s="299"/>
      <c r="B2" s="299"/>
      <c r="C2" s="299"/>
      <c r="D2" s="299"/>
      <c r="E2" s="299"/>
      <c r="F2" s="299"/>
      <c r="G2" s="299"/>
      <c r="H2" s="159" t="s">
        <v>14</v>
      </c>
      <c r="I2" s="159" t="s">
        <v>1097</v>
      </c>
      <c r="J2" s="159" t="s">
        <v>1098</v>
      </c>
      <c r="K2" s="299"/>
    </row>
    <row r="3" spans="1:11" x14ac:dyDescent="0.25">
      <c r="A3" s="26">
        <v>1</v>
      </c>
      <c r="B3" s="27" t="s">
        <v>1099</v>
      </c>
      <c r="C3" s="28">
        <v>17.399999999999999</v>
      </c>
      <c r="D3" s="28">
        <v>13.1</v>
      </c>
      <c r="E3" s="28">
        <v>12</v>
      </c>
      <c r="F3" s="29" t="s">
        <v>1100</v>
      </c>
      <c r="G3" s="26"/>
      <c r="H3" s="26"/>
      <c r="I3" s="26"/>
      <c r="J3" s="26"/>
      <c r="K3" s="26"/>
    </row>
    <row r="4" spans="1:11" x14ac:dyDescent="0.25">
      <c r="A4" s="26">
        <v>2</v>
      </c>
      <c r="B4" s="27" t="s">
        <v>1101</v>
      </c>
      <c r="C4" s="28">
        <v>169.2</v>
      </c>
      <c r="D4" s="28">
        <v>266</v>
      </c>
      <c r="E4" s="28">
        <v>143.80000000000001</v>
      </c>
      <c r="F4" s="29" t="s">
        <v>1100</v>
      </c>
      <c r="G4" s="26"/>
      <c r="H4" s="26"/>
      <c r="I4" s="26"/>
      <c r="J4" s="26"/>
      <c r="K4" s="26"/>
    </row>
    <row r="5" spans="1:11" x14ac:dyDescent="0.25">
      <c r="A5" s="26">
        <v>3</v>
      </c>
      <c r="B5" s="27" t="s">
        <v>1102</v>
      </c>
      <c r="C5" s="28">
        <v>1573.9</v>
      </c>
      <c r="D5" s="28">
        <v>3919.9</v>
      </c>
      <c r="E5" s="28">
        <v>1307.44</v>
      </c>
      <c r="F5" s="29" t="s">
        <v>1100</v>
      </c>
      <c r="G5" s="26"/>
      <c r="H5" s="26"/>
      <c r="I5" s="26"/>
      <c r="J5" s="26"/>
      <c r="K5" s="26"/>
    </row>
    <row r="6" spans="1:11" ht="30" x14ac:dyDescent="0.25">
      <c r="A6" s="26">
        <v>4</v>
      </c>
      <c r="B6" s="27" t="s">
        <v>1103</v>
      </c>
      <c r="C6" s="28">
        <v>18</v>
      </c>
      <c r="D6" s="28">
        <v>124</v>
      </c>
      <c r="E6" s="28">
        <v>35</v>
      </c>
      <c r="F6" s="29" t="s">
        <v>1100</v>
      </c>
      <c r="G6" s="26"/>
      <c r="H6" s="26"/>
      <c r="I6" s="26"/>
      <c r="J6" s="26"/>
      <c r="K6" s="26"/>
    </row>
    <row r="7" spans="1:11" ht="30" x14ac:dyDescent="0.25">
      <c r="A7" s="26">
        <v>5</v>
      </c>
      <c r="B7" s="27" t="s">
        <v>1104</v>
      </c>
      <c r="C7" s="28">
        <v>379611</v>
      </c>
      <c r="D7" s="28">
        <v>1323310</v>
      </c>
      <c r="E7" s="28">
        <v>455533</v>
      </c>
      <c r="F7" s="29" t="s">
        <v>1100</v>
      </c>
      <c r="G7" s="26"/>
      <c r="H7" s="26"/>
      <c r="I7" s="26"/>
      <c r="J7" s="26"/>
      <c r="K7" s="26"/>
    </row>
    <row r="8" spans="1:11" ht="30" x14ac:dyDescent="0.25">
      <c r="A8" s="26">
        <v>6</v>
      </c>
      <c r="B8" s="27" t="s">
        <v>1105</v>
      </c>
      <c r="C8" s="28">
        <v>1960697</v>
      </c>
      <c r="D8" s="28">
        <v>7033498</v>
      </c>
      <c r="E8" s="28">
        <v>9600000</v>
      </c>
      <c r="F8" s="29" t="s">
        <v>1100</v>
      </c>
      <c r="G8" s="26"/>
      <c r="H8" s="26"/>
      <c r="I8" s="26"/>
      <c r="J8" s="26"/>
      <c r="K8" s="26"/>
    </row>
    <row r="9" spans="1:11" ht="30" x14ac:dyDescent="0.25">
      <c r="A9" s="26">
        <v>1</v>
      </c>
      <c r="B9" s="27" t="s">
        <v>1106</v>
      </c>
      <c r="C9" s="28">
        <v>0</v>
      </c>
      <c r="D9" s="28">
        <v>18</v>
      </c>
      <c r="E9" s="28">
        <v>20</v>
      </c>
      <c r="F9" s="29" t="s">
        <v>932</v>
      </c>
      <c r="G9" s="26"/>
      <c r="H9" s="26"/>
      <c r="I9" s="26"/>
      <c r="J9" s="26"/>
      <c r="K9" s="26"/>
    </row>
    <row r="10" spans="1:11" ht="30" x14ac:dyDescent="0.25">
      <c r="A10" s="26">
        <v>4</v>
      </c>
      <c r="B10" s="27" t="s">
        <v>1107</v>
      </c>
      <c r="C10" s="28">
        <v>0</v>
      </c>
      <c r="D10" s="28">
        <v>39</v>
      </c>
      <c r="E10" s="28">
        <v>5</v>
      </c>
      <c r="F10" s="29" t="s">
        <v>932</v>
      </c>
      <c r="G10" s="26"/>
      <c r="H10" s="26"/>
      <c r="I10" s="26"/>
      <c r="J10" s="26"/>
      <c r="K10" s="26"/>
    </row>
    <row r="11" spans="1:11" x14ac:dyDescent="0.25">
      <c r="A11" s="26">
        <v>5</v>
      </c>
      <c r="B11" s="27" t="s">
        <v>1108</v>
      </c>
      <c r="C11" s="28">
        <v>365352</v>
      </c>
      <c r="D11" s="28">
        <v>945436</v>
      </c>
      <c r="E11" s="28">
        <v>438422</v>
      </c>
      <c r="F11" s="29" t="s">
        <v>932</v>
      </c>
      <c r="G11" s="26"/>
      <c r="H11" s="26"/>
      <c r="I11" s="26"/>
      <c r="J11" s="26"/>
      <c r="K11" s="26"/>
    </row>
    <row r="12" spans="1:11" ht="30" x14ac:dyDescent="0.25">
      <c r="A12" s="26">
        <v>6</v>
      </c>
      <c r="B12" s="27" t="s">
        <v>1109</v>
      </c>
      <c r="C12" s="28">
        <v>14259</v>
      </c>
      <c r="D12" s="28">
        <v>69386</v>
      </c>
      <c r="E12" s="28">
        <v>17111</v>
      </c>
      <c r="F12" s="29" t="s">
        <v>932</v>
      </c>
      <c r="G12" s="26"/>
      <c r="H12" s="26"/>
      <c r="I12" s="26"/>
      <c r="J12" s="26"/>
      <c r="K12" s="26"/>
    </row>
    <row r="13" spans="1:11" ht="30" x14ac:dyDescent="0.25">
      <c r="A13" s="26">
        <v>8</v>
      </c>
      <c r="B13" s="27" t="s">
        <v>983</v>
      </c>
      <c r="C13" s="28">
        <v>0</v>
      </c>
      <c r="D13" s="28">
        <v>604</v>
      </c>
      <c r="E13" s="28">
        <v>400</v>
      </c>
      <c r="F13" s="29" t="s">
        <v>932</v>
      </c>
      <c r="G13" s="26"/>
      <c r="H13" s="26"/>
      <c r="I13" s="26"/>
      <c r="J13" s="26"/>
      <c r="K13" s="26"/>
    </row>
    <row r="14" spans="1:11" ht="30" x14ac:dyDescent="0.25">
      <c r="A14" s="26">
        <v>10</v>
      </c>
      <c r="B14" s="27" t="s">
        <v>1110</v>
      </c>
      <c r="C14" s="28">
        <v>750</v>
      </c>
      <c r="D14" s="28">
        <v>1727</v>
      </c>
      <c r="E14" s="28">
        <v>863</v>
      </c>
      <c r="F14" s="29" t="s">
        <v>932</v>
      </c>
      <c r="G14" s="26"/>
      <c r="H14" s="26"/>
      <c r="I14" s="26"/>
      <c r="J14" s="26"/>
      <c r="K14" s="26"/>
    </row>
    <row r="15" spans="1:11" ht="30" x14ac:dyDescent="0.25">
      <c r="A15" s="26">
        <v>13</v>
      </c>
      <c r="B15" s="27" t="s">
        <v>1111</v>
      </c>
      <c r="C15" s="28">
        <v>0</v>
      </c>
      <c r="D15" s="28">
        <v>317</v>
      </c>
      <c r="E15" s="28">
        <v>70</v>
      </c>
      <c r="F15" s="29" t="s">
        <v>932</v>
      </c>
      <c r="G15" s="26"/>
      <c r="H15" s="26"/>
      <c r="I15" s="26"/>
      <c r="J15" s="26"/>
      <c r="K15" s="26"/>
    </row>
    <row r="16" spans="1:11" ht="30" x14ac:dyDescent="0.25">
      <c r="A16" s="26">
        <v>14</v>
      </c>
      <c r="B16" s="27" t="s">
        <v>1112</v>
      </c>
      <c r="C16" s="28">
        <v>66.739999999999995</v>
      </c>
      <c r="D16" s="28">
        <v>278</v>
      </c>
      <c r="E16" s="28">
        <v>60</v>
      </c>
      <c r="F16" s="29" t="s">
        <v>932</v>
      </c>
      <c r="G16" s="26"/>
      <c r="H16" s="26"/>
      <c r="I16" s="26"/>
      <c r="J16" s="26"/>
      <c r="K16" s="26"/>
    </row>
    <row r="17" spans="1:11" ht="30" x14ac:dyDescent="0.25">
      <c r="A17" s="26">
        <v>15</v>
      </c>
      <c r="B17" s="27" t="s">
        <v>1113</v>
      </c>
      <c r="C17" s="28">
        <v>2712</v>
      </c>
      <c r="D17" s="28">
        <v>2973</v>
      </c>
      <c r="E17" s="28">
        <v>3000</v>
      </c>
      <c r="F17" s="29" t="s">
        <v>932</v>
      </c>
      <c r="G17" s="26"/>
      <c r="H17" s="26"/>
      <c r="I17" s="26"/>
      <c r="J17" s="26"/>
      <c r="K17" s="26"/>
    </row>
    <row r="18" spans="1:11" ht="30" x14ac:dyDescent="0.25">
      <c r="A18" s="26">
        <v>16</v>
      </c>
      <c r="B18" s="27" t="s">
        <v>955</v>
      </c>
      <c r="C18" s="28">
        <v>577</v>
      </c>
      <c r="D18" s="28">
        <v>7489</v>
      </c>
      <c r="E18" s="28">
        <v>4000</v>
      </c>
      <c r="F18" s="29" t="s">
        <v>932</v>
      </c>
      <c r="G18" s="26"/>
      <c r="H18" s="26"/>
      <c r="I18" s="26"/>
      <c r="J18" s="26"/>
      <c r="K18" s="26"/>
    </row>
    <row r="19" spans="1:11" ht="30" x14ac:dyDescent="0.25">
      <c r="A19" s="26">
        <v>17</v>
      </c>
      <c r="B19" s="27" t="s">
        <v>1114</v>
      </c>
      <c r="C19" s="28">
        <v>179</v>
      </c>
      <c r="D19" s="28">
        <v>11</v>
      </c>
      <c r="E19" s="28">
        <v>21</v>
      </c>
      <c r="F19" s="29" t="s">
        <v>932</v>
      </c>
      <c r="G19" s="26"/>
      <c r="H19" s="26"/>
      <c r="I19" s="26"/>
      <c r="J19" s="26"/>
      <c r="K19" s="26"/>
    </row>
    <row r="20" spans="1:11" ht="30" x14ac:dyDescent="0.25">
      <c r="A20" s="26">
        <v>18</v>
      </c>
      <c r="B20" s="27" t="s">
        <v>1115</v>
      </c>
      <c r="C20" s="29">
        <v>14</v>
      </c>
      <c r="D20" s="29">
        <v>6</v>
      </c>
      <c r="E20" s="29">
        <v>13</v>
      </c>
      <c r="F20" s="29" t="s">
        <v>932</v>
      </c>
      <c r="G20" s="26"/>
      <c r="H20" s="26"/>
      <c r="I20" s="26"/>
      <c r="J20" s="26"/>
      <c r="K20" s="26"/>
    </row>
    <row r="21" spans="1:11" ht="30" x14ac:dyDescent="0.25">
      <c r="A21" s="26">
        <v>22</v>
      </c>
      <c r="B21" s="27" t="s">
        <v>1116</v>
      </c>
      <c r="C21" s="29">
        <v>0</v>
      </c>
      <c r="D21" s="29">
        <v>424</v>
      </c>
      <c r="E21" s="29">
        <v>50</v>
      </c>
      <c r="F21" s="29" t="s">
        <v>932</v>
      </c>
      <c r="G21" s="26"/>
      <c r="H21" s="26"/>
      <c r="I21" s="26"/>
      <c r="J21" s="26"/>
      <c r="K21" s="26"/>
    </row>
    <row r="22" spans="1:11" ht="45" x14ac:dyDescent="0.25">
      <c r="A22" s="26">
        <v>19</v>
      </c>
      <c r="B22" s="27" t="s">
        <v>1117</v>
      </c>
      <c r="C22" s="29">
        <v>0</v>
      </c>
      <c r="D22" s="29">
        <v>145</v>
      </c>
      <c r="E22" s="29">
        <v>100</v>
      </c>
      <c r="F22" s="29" t="s">
        <v>932</v>
      </c>
      <c r="G22" s="26"/>
      <c r="H22" s="26"/>
      <c r="I22" s="26"/>
      <c r="J22" s="26"/>
      <c r="K22" s="26"/>
    </row>
    <row r="23" spans="1:11" ht="30" x14ac:dyDescent="0.25">
      <c r="A23" s="26">
        <v>20</v>
      </c>
      <c r="B23" s="27" t="s">
        <v>1009</v>
      </c>
      <c r="C23" s="29">
        <v>0</v>
      </c>
      <c r="D23" s="29">
        <v>140</v>
      </c>
      <c r="E23" s="29">
        <v>100</v>
      </c>
      <c r="F23" s="29" t="s">
        <v>932</v>
      </c>
      <c r="G23" s="26"/>
      <c r="H23" s="26"/>
      <c r="I23" s="26"/>
      <c r="J23" s="26"/>
      <c r="K23" s="26"/>
    </row>
    <row r="24" spans="1:11" ht="30" x14ac:dyDescent="0.25">
      <c r="A24" s="26">
        <v>21</v>
      </c>
      <c r="B24" s="27" t="s">
        <v>1006</v>
      </c>
      <c r="C24" s="29">
        <v>0</v>
      </c>
      <c r="D24" s="29">
        <v>110</v>
      </c>
      <c r="E24" s="29">
        <v>100</v>
      </c>
      <c r="F24" s="29" t="s">
        <v>932</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x14ac:dyDescent="0.3">
      <c r="A1" s="300" t="s">
        <v>1118</v>
      </c>
      <c r="B1" s="300"/>
      <c r="C1" s="160" t="s">
        <v>1119</v>
      </c>
      <c r="D1" s="160" t="s">
        <v>1120</v>
      </c>
      <c r="E1" s="160" t="s">
        <v>1121</v>
      </c>
      <c r="F1" s="160" t="s">
        <v>1122</v>
      </c>
      <c r="G1" s="160" t="s">
        <v>1123</v>
      </c>
      <c r="H1" s="160" t="s">
        <v>1124</v>
      </c>
      <c r="I1" s="160" t="s">
        <v>1125</v>
      </c>
      <c r="J1" s="160" t="s">
        <v>1126</v>
      </c>
      <c r="K1" s="160" t="s">
        <v>1127</v>
      </c>
      <c r="L1" s="160" t="s">
        <v>1128</v>
      </c>
    </row>
    <row r="2" spans="1:12" ht="120.75" thickBot="1" x14ac:dyDescent="0.3">
      <c r="A2" s="38" t="s">
        <v>1129</v>
      </c>
      <c r="B2" s="38" t="s">
        <v>1130</v>
      </c>
      <c r="C2" s="24" t="s">
        <v>1131</v>
      </c>
      <c r="D2" s="30" t="s">
        <v>1132</v>
      </c>
      <c r="E2" s="30" t="s">
        <v>1133</v>
      </c>
      <c r="F2" s="33">
        <v>1</v>
      </c>
      <c r="G2" s="31" t="s">
        <v>33</v>
      </c>
      <c r="H2" s="35">
        <v>517</v>
      </c>
      <c r="I2" s="35">
        <v>400</v>
      </c>
      <c r="J2" s="36">
        <f>+(H2/I2)</f>
        <v>1.2925</v>
      </c>
      <c r="K2" s="37" t="s">
        <v>1134</v>
      </c>
      <c r="L2" s="38"/>
    </row>
    <row r="3" spans="1:12" ht="75.75" customHeight="1" thickBot="1" x14ac:dyDescent="0.3">
      <c r="A3" s="38" t="s">
        <v>1129</v>
      </c>
      <c r="B3" s="38" t="s">
        <v>1130</v>
      </c>
      <c r="C3" s="24" t="s">
        <v>1131</v>
      </c>
      <c r="D3" s="39" t="s">
        <v>1135</v>
      </c>
      <c r="E3" s="30" t="s">
        <v>1136</v>
      </c>
      <c r="F3" s="33">
        <v>1</v>
      </c>
      <c r="G3" s="35" t="s">
        <v>1137</v>
      </c>
      <c r="H3" s="35">
        <v>4.0632621784345924</v>
      </c>
      <c r="I3" s="35">
        <v>2</v>
      </c>
      <c r="J3" s="36">
        <f>+H3/I3</f>
        <v>2.0316310892172962</v>
      </c>
      <c r="K3" s="37" t="s">
        <v>1134</v>
      </c>
      <c r="L3" s="38"/>
    </row>
    <row r="4" spans="1:12" ht="60.75" thickBot="1" x14ac:dyDescent="0.3">
      <c r="A4" s="38" t="s">
        <v>1129</v>
      </c>
      <c r="B4" s="38" t="s">
        <v>1130</v>
      </c>
      <c r="C4" s="38" t="s">
        <v>1138</v>
      </c>
      <c r="D4" s="39" t="s">
        <v>1139</v>
      </c>
      <c r="E4" s="30" t="s">
        <v>1140</v>
      </c>
      <c r="F4" s="33">
        <v>1</v>
      </c>
      <c r="G4" s="35" t="s">
        <v>1141</v>
      </c>
      <c r="H4" s="35">
        <v>4.248646650038598</v>
      </c>
      <c r="I4" s="35">
        <v>8</v>
      </c>
      <c r="J4" s="40">
        <v>2.1240000000000001</v>
      </c>
      <c r="K4" s="37" t="s">
        <v>1134</v>
      </c>
      <c r="L4" s="38"/>
    </row>
    <row r="5" spans="1:12" ht="60.75" thickBot="1" x14ac:dyDescent="0.3">
      <c r="A5" s="38" t="s">
        <v>1129</v>
      </c>
      <c r="B5" s="38" t="s">
        <v>1130</v>
      </c>
      <c r="C5" s="24" t="s">
        <v>1131</v>
      </c>
      <c r="D5" s="39" t="s">
        <v>1142</v>
      </c>
      <c r="E5" s="30" t="s">
        <v>1143</v>
      </c>
      <c r="F5" s="33">
        <v>1</v>
      </c>
      <c r="G5" s="35" t="s">
        <v>33</v>
      </c>
      <c r="H5" s="35">
        <v>405</v>
      </c>
      <c r="I5" s="35">
        <v>400</v>
      </c>
      <c r="J5" s="36">
        <f t="shared" ref="J5:J18" si="0">+H5/I5</f>
        <v>1.0125</v>
      </c>
      <c r="K5" s="37" t="s">
        <v>1134</v>
      </c>
      <c r="L5" s="38"/>
    </row>
    <row r="6" spans="1:12" ht="60.75" thickBot="1" x14ac:dyDescent="0.3">
      <c r="A6" s="38" t="s">
        <v>1129</v>
      </c>
      <c r="B6" s="38" t="s">
        <v>1130</v>
      </c>
      <c r="C6" s="24" t="s">
        <v>1131</v>
      </c>
      <c r="D6" s="39" t="s">
        <v>1144</v>
      </c>
      <c r="E6" s="30" t="s">
        <v>1145</v>
      </c>
      <c r="F6" s="33">
        <v>1</v>
      </c>
      <c r="G6" s="35" t="s">
        <v>33</v>
      </c>
      <c r="H6" s="35">
        <v>1</v>
      </c>
      <c r="I6" s="35">
        <v>1</v>
      </c>
      <c r="J6" s="36">
        <f t="shared" si="0"/>
        <v>1</v>
      </c>
      <c r="K6" s="37" t="s">
        <v>1134</v>
      </c>
      <c r="L6" s="38"/>
    </row>
    <row r="7" spans="1:12" ht="45.75" thickBot="1" x14ac:dyDescent="0.3">
      <c r="A7" s="38" t="s">
        <v>1129</v>
      </c>
      <c r="B7" s="38" t="s">
        <v>1130</v>
      </c>
      <c r="C7" s="38" t="s">
        <v>1138</v>
      </c>
      <c r="D7" s="39" t="s">
        <v>1146</v>
      </c>
      <c r="E7" s="30" t="s">
        <v>1147</v>
      </c>
      <c r="F7" s="33">
        <v>1</v>
      </c>
      <c r="G7" s="35" t="s">
        <v>1148</v>
      </c>
      <c r="H7" s="35">
        <v>268</v>
      </c>
      <c r="I7" s="35">
        <v>100</v>
      </c>
      <c r="J7" s="36">
        <f t="shared" si="0"/>
        <v>2.68</v>
      </c>
      <c r="K7" s="37" t="s">
        <v>1134</v>
      </c>
      <c r="L7" s="38"/>
    </row>
    <row r="8" spans="1:12" ht="45.75" thickBot="1" x14ac:dyDescent="0.3">
      <c r="A8" s="38" t="s">
        <v>1129</v>
      </c>
      <c r="B8" s="38" t="s">
        <v>1130</v>
      </c>
      <c r="C8" s="24" t="s">
        <v>1131</v>
      </c>
      <c r="D8" s="39" t="s">
        <v>1149</v>
      </c>
      <c r="E8" s="30" t="s">
        <v>1150</v>
      </c>
      <c r="F8" s="33">
        <v>1</v>
      </c>
      <c r="G8" s="35" t="s">
        <v>1148</v>
      </c>
      <c r="H8" s="35">
        <v>6</v>
      </c>
      <c r="I8" s="35">
        <v>5</v>
      </c>
      <c r="J8" s="36">
        <f t="shared" si="0"/>
        <v>1.2</v>
      </c>
      <c r="K8" s="37" t="s">
        <v>1134</v>
      </c>
      <c r="L8" s="38"/>
    </row>
    <row r="9" spans="1:12" ht="45.75" thickBot="1" x14ac:dyDescent="0.3">
      <c r="A9" s="38" t="s">
        <v>1129</v>
      </c>
      <c r="B9" s="38" t="s">
        <v>1130</v>
      </c>
      <c r="C9" s="38" t="s">
        <v>1138</v>
      </c>
      <c r="D9" s="39" t="s">
        <v>1151</v>
      </c>
      <c r="E9" s="30" t="s">
        <v>1152</v>
      </c>
      <c r="F9" s="33">
        <v>1</v>
      </c>
      <c r="G9" s="35" t="s">
        <v>33</v>
      </c>
      <c r="H9" s="35">
        <v>892</v>
      </c>
      <c r="I9" s="35">
        <v>800</v>
      </c>
      <c r="J9" s="41">
        <f t="shared" si="0"/>
        <v>1.115</v>
      </c>
      <c r="K9" s="37" t="s">
        <v>1134</v>
      </c>
      <c r="L9" s="38"/>
    </row>
    <row r="10" spans="1:12" ht="36" customHeight="1" thickBot="1" x14ac:dyDescent="0.3">
      <c r="A10" s="38" t="s">
        <v>1129</v>
      </c>
      <c r="B10" s="38" t="s">
        <v>1130</v>
      </c>
      <c r="C10" s="24" t="s">
        <v>1131</v>
      </c>
      <c r="D10" s="39" t="s">
        <v>1153</v>
      </c>
      <c r="E10" s="30" t="s">
        <v>1154</v>
      </c>
      <c r="F10" s="33">
        <v>1</v>
      </c>
      <c r="G10" s="35" t="s">
        <v>1148</v>
      </c>
      <c r="H10" s="35">
        <v>1177</v>
      </c>
      <c r="I10" s="35">
        <v>1150</v>
      </c>
      <c r="J10" s="36">
        <f t="shared" si="0"/>
        <v>1.0234782608695652</v>
      </c>
      <c r="K10" s="37" t="s">
        <v>1134</v>
      </c>
      <c r="L10" s="38"/>
    </row>
    <row r="11" spans="1:12" ht="75.75" thickBot="1" x14ac:dyDescent="0.3">
      <c r="A11" s="38" t="s">
        <v>1129</v>
      </c>
      <c r="B11" s="38" t="s">
        <v>1130</v>
      </c>
      <c r="C11" s="38" t="s">
        <v>1155</v>
      </c>
      <c r="D11" s="39" t="s">
        <v>1156</v>
      </c>
      <c r="E11" s="30" t="s">
        <v>1157</v>
      </c>
      <c r="F11" s="33">
        <v>0.7</v>
      </c>
      <c r="G11" s="35" t="s">
        <v>1158</v>
      </c>
      <c r="H11" s="42">
        <v>36.590000000000003</v>
      </c>
      <c r="I11" s="35">
        <v>46</v>
      </c>
      <c r="J11" s="36">
        <f t="shared" si="0"/>
        <v>0.79543478260869571</v>
      </c>
      <c r="K11" s="37" t="s">
        <v>1134</v>
      </c>
      <c r="L11" s="38"/>
    </row>
    <row r="12" spans="1:12" ht="60.75" thickBot="1" x14ac:dyDescent="0.3">
      <c r="A12" s="38" t="s">
        <v>1129</v>
      </c>
      <c r="B12" s="38" t="s">
        <v>1130</v>
      </c>
      <c r="C12" s="38" t="s">
        <v>1138</v>
      </c>
      <c r="D12" s="39" t="s">
        <v>1159</v>
      </c>
      <c r="E12" s="30" t="s">
        <v>1160</v>
      </c>
      <c r="F12" s="33">
        <v>1</v>
      </c>
      <c r="G12" s="35" t="s">
        <v>33</v>
      </c>
      <c r="H12" s="35">
        <v>4260</v>
      </c>
      <c r="I12" s="35">
        <v>5917</v>
      </c>
      <c r="J12" s="36">
        <f t="shared" si="0"/>
        <v>0.71995943890485048</v>
      </c>
      <c r="K12" s="43" t="s">
        <v>72</v>
      </c>
      <c r="L12" s="44" t="s">
        <v>1161</v>
      </c>
    </row>
    <row r="13" spans="1:12" ht="90.75" thickBot="1" x14ac:dyDescent="0.3">
      <c r="A13" s="38" t="s">
        <v>1162</v>
      </c>
      <c r="B13" s="38" t="s">
        <v>1163</v>
      </c>
      <c r="C13" s="24" t="s">
        <v>1131</v>
      </c>
      <c r="D13" s="39" t="s">
        <v>123</v>
      </c>
      <c r="E13" s="30" t="s">
        <v>124</v>
      </c>
      <c r="F13" s="33">
        <v>1</v>
      </c>
      <c r="G13" s="35" t="s">
        <v>33</v>
      </c>
      <c r="H13" s="35">
        <v>1357</v>
      </c>
      <c r="I13" s="35">
        <v>1420</v>
      </c>
      <c r="J13" s="36">
        <f t="shared" si="0"/>
        <v>0.95563380281690136</v>
      </c>
      <c r="K13" s="37" t="s">
        <v>1134</v>
      </c>
      <c r="L13" s="38"/>
    </row>
    <row r="14" spans="1:12" ht="105.75" thickBot="1" x14ac:dyDescent="0.3">
      <c r="A14" s="38" t="s">
        <v>1162</v>
      </c>
      <c r="B14" s="38" t="s">
        <v>1163</v>
      </c>
      <c r="C14" s="38" t="s">
        <v>1138</v>
      </c>
      <c r="D14" s="39" t="s">
        <v>131</v>
      </c>
      <c r="E14" s="30" t="s">
        <v>132</v>
      </c>
      <c r="F14" s="33">
        <v>0.3</v>
      </c>
      <c r="G14" s="35" t="s">
        <v>33</v>
      </c>
      <c r="H14" s="35">
        <v>1084</v>
      </c>
      <c r="I14" s="35">
        <v>6208</v>
      </c>
      <c r="J14" s="36">
        <f t="shared" si="0"/>
        <v>0.17461340206185566</v>
      </c>
      <c r="K14" s="37" t="s">
        <v>1134</v>
      </c>
      <c r="L14" s="38"/>
    </row>
    <row r="15" spans="1:12" ht="60.75" thickBot="1" x14ac:dyDescent="0.3">
      <c r="A15" s="38" t="s">
        <v>1164</v>
      </c>
      <c r="B15" s="38" t="s">
        <v>1165</v>
      </c>
      <c r="C15" s="38" t="s">
        <v>1138</v>
      </c>
      <c r="D15" s="39" t="s">
        <v>24</v>
      </c>
      <c r="E15" s="30" t="s">
        <v>25</v>
      </c>
      <c r="F15" s="33">
        <v>0.5</v>
      </c>
      <c r="G15" s="35" t="s">
        <v>33</v>
      </c>
      <c r="H15" s="35">
        <v>3670</v>
      </c>
      <c r="I15" s="35">
        <v>5769</v>
      </c>
      <c r="J15" s="36">
        <f t="shared" si="0"/>
        <v>0.63615877968452073</v>
      </c>
      <c r="K15" s="37" t="s">
        <v>1134</v>
      </c>
      <c r="L15" s="38" t="s">
        <v>780</v>
      </c>
    </row>
    <row r="16" spans="1:12" ht="45.75" thickBot="1" x14ac:dyDescent="0.3">
      <c r="A16" s="38" t="s">
        <v>1164</v>
      </c>
      <c r="B16" s="38" t="s">
        <v>1165</v>
      </c>
      <c r="C16" s="38" t="s">
        <v>1138</v>
      </c>
      <c r="D16" s="39" t="s">
        <v>1166</v>
      </c>
      <c r="E16" s="30" t="s">
        <v>38</v>
      </c>
      <c r="F16" s="34">
        <v>0.999</v>
      </c>
      <c r="G16" s="35" t="s">
        <v>33</v>
      </c>
      <c r="H16" s="35">
        <v>29368</v>
      </c>
      <c r="I16" s="35">
        <v>29368</v>
      </c>
      <c r="J16" s="36">
        <f t="shared" si="0"/>
        <v>1</v>
      </c>
      <c r="K16" s="37" t="s">
        <v>1134</v>
      </c>
      <c r="L16" s="38" t="s">
        <v>1167</v>
      </c>
    </row>
    <row r="17" spans="1:12" ht="45.75" thickBot="1" x14ac:dyDescent="0.3">
      <c r="A17" s="38" t="s">
        <v>1164</v>
      </c>
      <c r="B17" s="38" t="s">
        <v>1165</v>
      </c>
      <c r="C17" s="38" t="s">
        <v>1155</v>
      </c>
      <c r="D17" s="39" t="s">
        <v>44</v>
      </c>
      <c r="E17" s="30" t="s">
        <v>45</v>
      </c>
      <c r="F17" s="33">
        <v>0.7</v>
      </c>
      <c r="G17" s="35" t="s">
        <v>33</v>
      </c>
      <c r="H17" s="35">
        <v>9</v>
      </c>
      <c r="I17" s="35">
        <v>12</v>
      </c>
      <c r="J17" s="36">
        <f t="shared" si="0"/>
        <v>0.75</v>
      </c>
      <c r="K17" s="37" t="s">
        <v>1134</v>
      </c>
      <c r="L17" s="38" t="s">
        <v>1168</v>
      </c>
    </row>
    <row r="18" spans="1:12" ht="60.75" thickBot="1" x14ac:dyDescent="0.3">
      <c r="A18" s="38" t="s">
        <v>1164</v>
      </c>
      <c r="B18" s="38" t="s">
        <v>1165</v>
      </c>
      <c r="C18" s="24" t="s">
        <v>1131</v>
      </c>
      <c r="D18" s="39" t="s">
        <v>1169</v>
      </c>
      <c r="E18" s="30" t="s">
        <v>1170</v>
      </c>
      <c r="F18" s="33">
        <v>0.95</v>
      </c>
      <c r="G18" s="35" t="s">
        <v>33</v>
      </c>
      <c r="H18" s="35">
        <v>966</v>
      </c>
      <c r="I18" s="35">
        <v>985</v>
      </c>
      <c r="J18" s="36">
        <f t="shared" si="0"/>
        <v>0.98071065989847717</v>
      </c>
      <c r="K18" s="37" t="s">
        <v>1134</v>
      </c>
      <c r="L18" s="38" t="s">
        <v>1168</v>
      </c>
    </row>
    <row r="19" spans="1:12" ht="45.75" thickBot="1" x14ac:dyDescent="0.3">
      <c r="A19" s="38" t="s">
        <v>1171</v>
      </c>
      <c r="B19" s="38" t="s">
        <v>1172</v>
      </c>
      <c r="C19" s="38" t="s">
        <v>1155</v>
      </c>
      <c r="D19" s="39" t="s">
        <v>155</v>
      </c>
      <c r="E19" s="30" t="s">
        <v>156</v>
      </c>
      <c r="F19" s="29" t="s">
        <v>1173</v>
      </c>
      <c r="G19" s="35" t="s">
        <v>1174</v>
      </c>
      <c r="H19" s="35">
        <v>11</v>
      </c>
      <c r="I19" s="35">
        <v>12</v>
      </c>
      <c r="J19" s="36">
        <f>(H19-I19)/I19</f>
        <v>-8.3333333333333329E-2</v>
      </c>
      <c r="K19" s="37" t="s">
        <v>1134</v>
      </c>
      <c r="L19" s="38"/>
    </row>
    <row r="20" spans="1:12" ht="75.75" thickBot="1" x14ac:dyDescent="0.3">
      <c r="A20" s="38" t="s">
        <v>1171</v>
      </c>
      <c r="B20" s="38" t="s">
        <v>1172</v>
      </c>
      <c r="C20" s="38" t="s">
        <v>1155</v>
      </c>
      <c r="D20" s="39" t="s">
        <v>163</v>
      </c>
      <c r="E20" s="30" t="s">
        <v>164</v>
      </c>
      <c r="F20" s="33">
        <v>1</v>
      </c>
      <c r="G20" s="35" t="s">
        <v>33</v>
      </c>
      <c r="H20" s="35">
        <v>34</v>
      </c>
      <c r="I20" s="35">
        <v>36</v>
      </c>
      <c r="J20" s="36">
        <f>+(H20/I20)</f>
        <v>0.94444444444444442</v>
      </c>
      <c r="K20" s="37" t="s">
        <v>1134</v>
      </c>
      <c r="L20" s="38"/>
    </row>
    <row r="21" spans="1:12" ht="60.75" thickBot="1" x14ac:dyDescent="0.3">
      <c r="A21" s="38" t="s">
        <v>1175</v>
      </c>
      <c r="B21" s="38" t="s">
        <v>1176</v>
      </c>
      <c r="C21" s="38" t="s">
        <v>1155</v>
      </c>
      <c r="D21" s="39" t="s">
        <v>505</v>
      </c>
      <c r="E21" s="30" t="s">
        <v>506</v>
      </c>
      <c r="F21" s="33">
        <v>1</v>
      </c>
      <c r="G21" s="35" t="s">
        <v>268</v>
      </c>
      <c r="H21" s="35">
        <v>1456</v>
      </c>
      <c r="I21" s="35">
        <v>1456</v>
      </c>
      <c r="J21" s="36">
        <f>+(H21/I21)</f>
        <v>1</v>
      </c>
      <c r="K21" s="37" t="s">
        <v>1134</v>
      </c>
      <c r="L21" s="38" t="s">
        <v>1177</v>
      </c>
    </row>
    <row r="22" spans="1:12" ht="75.75" thickBot="1" x14ac:dyDescent="0.3">
      <c r="A22" s="38" t="s">
        <v>1175</v>
      </c>
      <c r="B22" s="38" t="s">
        <v>1176</v>
      </c>
      <c r="C22" s="38" t="s">
        <v>1138</v>
      </c>
      <c r="D22" s="39" t="s">
        <v>517</v>
      </c>
      <c r="E22" s="30" t="s">
        <v>518</v>
      </c>
      <c r="F22" s="58">
        <v>0.25</v>
      </c>
      <c r="G22" s="35" t="s">
        <v>33</v>
      </c>
      <c r="H22" s="45">
        <v>43</v>
      </c>
      <c r="I22" s="45">
        <v>537</v>
      </c>
      <c r="J22" s="46">
        <f>+(H22/I22)</f>
        <v>8.0074487895716945E-2</v>
      </c>
      <c r="K22" s="37" t="s">
        <v>1134</v>
      </c>
      <c r="L22" s="38"/>
    </row>
    <row r="23" spans="1:12" ht="60.75" thickBot="1" x14ac:dyDescent="0.3">
      <c r="A23" s="38" t="s">
        <v>1175</v>
      </c>
      <c r="B23" s="38" t="s">
        <v>1176</v>
      </c>
      <c r="C23" s="24" t="s">
        <v>1131</v>
      </c>
      <c r="D23" s="39" t="s">
        <v>523</v>
      </c>
      <c r="E23" s="30" t="s">
        <v>524</v>
      </c>
      <c r="F23" s="29" t="s">
        <v>1178</v>
      </c>
      <c r="G23" s="35" t="s">
        <v>1179</v>
      </c>
      <c r="H23" s="35">
        <v>7997</v>
      </c>
      <c r="I23" s="35">
        <v>1111</v>
      </c>
      <c r="J23" s="47" t="s">
        <v>1180</v>
      </c>
      <c r="K23" s="37" t="s">
        <v>1134</v>
      </c>
      <c r="L23" s="38" t="s">
        <v>780</v>
      </c>
    </row>
    <row r="24" spans="1:12" ht="45.75" thickBot="1" x14ac:dyDescent="0.3">
      <c r="A24" s="38" t="s">
        <v>1181</v>
      </c>
      <c r="B24" s="38" t="s">
        <v>1182</v>
      </c>
      <c r="C24" s="38" t="s">
        <v>1138</v>
      </c>
      <c r="D24" s="39" t="s">
        <v>1183</v>
      </c>
      <c r="E24" s="30" t="s">
        <v>1184</v>
      </c>
      <c r="F24" s="33">
        <v>0.7</v>
      </c>
      <c r="G24" s="35" t="s">
        <v>33</v>
      </c>
      <c r="H24" s="35">
        <v>111</v>
      </c>
      <c r="I24" s="35">
        <v>165</v>
      </c>
      <c r="J24" s="46">
        <f t="shared" ref="J24:J32" si="1">+(H24/I24)</f>
        <v>0.67272727272727273</v>
      </c>
      <c r="K24" s="37" t="s">
        <v>1134</v>
      </c>
      <c r="L24" s="38"/>
    </row>
    <row r="25" spans="1:12" ht="30.75" thickBot="1" x14ac:dyDescent="0.3">
      <c r="A25" s="38" t="s">
        <v>1181</v>
      </c>
      <c r="B25" s="38" t="s">
        <v>1182</v>
      </c>
      <c r="C25" s="24" t="s">
        <v>1131</v>
      </c>
      <c r="D25" s="39" t="s">
        <v>1185</v>
      </c>
      <c r="E25" s="30" t="s">
        <v>1186</v>
      </c>
      <c r="F25" s="33">
        <v>1</v>
      </c>
      <c r="G25" s="35" t="s">
        <v>33</v>
      </c>
      <c r="H25" s="35">
        <v>124</v>
      </c>
      <c r="I25" s="35">
        <v>124</v>
      </c>
      <c r="J25" s="46">
        <f t="shared" si="1"/>
        <v>1</v>
      </c>
      <c r="K25" s="37" t="s">
        <v>1134</v>
      </c>
      <c r="L25" s="38"/>
    </row>
    <row r="26" spans="1:12" ht="45.75" thickBot="1" x14ac:dyDescent="0.3">
      <c r="A26" s="38" t="s">
        <v>1187</v>
      </c>
      <c r="B26" s="38" t="s">
        <v>1188</v>
      </c>
      <c r="C26" s="38" t="s">
        <v>1155</v>
      </c>
      <c r="D26" s="39" t="s">
        <v>1189</v>
      </c>
      <c r="E26" s="30" t="s">
        <v>1190</v>
      </c>
      <c r="F26" s="33">
        <v>1</v>
      </c>
      <c r="G26" s="35" t="s">
        <v>33</v>
      </c>
      <c r="H26" s="35">
        <v>597</v>
      </c>
      <c r="I26" s="35">
        <v>733</v>
      </c>
      <c r="J26" s="36">
        <f t="shared" si="1"/>
        <v>0.81446111869031379</v>
      </c>
      <c r="K26" s="37" t="s">
        <v>1134</v>
      </c>
      <c r="L26" s="38"/>
    </row>
    <row r="27" spans="1:12" ht="30.75" thickBot="1" x14ac:dyDescent="0.3">
      <c r="A27" s="38" t="s">
        <v>1187</v>
      </c>
      <c r="B27" s="38" t="s">
        <v>1188</v>
      </c>
      <c r="C27" s="38" t="s">
        <v>1138</v>
      </c>
      <c r="D27" s="39" t="s">
        <v>171</v>
      </c>
      <c r="E27" s="30" t="s">
        <v>172</v>
      </c>
      <c r="F27" s="33">
        <v>1</v>
      </c>
      <c r="G27" s="35" t="s">
        <v>33</v>
      </c>
      <c r="H27" s="42">
        <v>0.93</v>
      </c>
      <c r="I27" s="42">
        <v>0.93</v>
      </c>
      <c r="J27" s="46">
        <f t="shared" si="1"/>
        <v>1</v>
      </c>
      <c r="K27" s="37" t="s">
        <v>1134</v>
      </c>
      <c r="L27" s="38"/>
    </row>
    <row r="28" spans="1:12" ht="60.75" thickBot="1" x14ac:dyDescent="0.3">
      <c r="A28" s="38" t="s">
        <v>1191</v>
      </c>
      <c r="B28" s="38" t="s">
        <v>1192</v>
      </c>
      <c r="C28" s="24" t="s">
        <v>1131</v>
      </c>
      <c r="D28" s="39" t="s">
        <v>1193</v>
      </c>
      <c r="E28" s="30" t="s">
        <v>1194</v>
      </c>
      <c r="F28" s="33">
        <v>1</v>
      </c>
      <c r="G28" s="35" t="s">
        <v>33</v>
      </c>
      <c r="H28" s="35">
        <v>192</v>
      </c>
      <c r="I28" s="35">
        <v>152</v>
      </c>
      <c r="J28" s="36">
        <f t="shared" si="1"/>
        <v>1.263157894736842</v>
      </c>
      <c r="K28" s="37" t="s">
        <v>1134</v>
      </c>
      <c r="L28" s="38"/>
    </row>
    <row r="29" spans="1:12" ht="45.75" thickBot="1" x14ac:dyDescent="0.3">
      <c r="A29" s="38" t="s">
        <v>1191</v>
      </c>
      <c r="B29" s="38" t="s">
        <v>1192</v>
      </c>
      <c r="C29" s="24" t="s">
        <v>1131</v>
      </c>
      <c r="D29" s="39" t="s">
        <v>1195</v>
      </c>
      <c r="E29" s="30" t="s">
        <v>1196</v>
      </c>
      <c r="F29" s="33">
        <v>1</v>
      </c>
      <c r="G29" s="35" t="s">
        <v>33</v>
      </c>
      <c r="H29" s="35">
        <v>774</v>
      </c>
      <c r="I29" s="35">
        <v>760</v>
      </c>
      <c r="J29" s="36">
        <f t="shared" si="1"/>
        <v>1.0184210526315789</v>
      </c>
      <c r="K29" s="37" t="s">
        <v>1134</v>
      </c>
      <c r="L29" s="38"/>
    </row>
    <row r="30" spans="1:12" ht="60.75" thickBot="1" x14ac:dyDescent="0.3">
      <c r="A30" s="38" t="s">
        <v>1191</v>
      </c>
      <c r="B30" s="38" t="s">
        <v>1192</v>
      </c>
      <c r="C30" s="24" t="s">
        <v>1131</v>
      </c>
      <c r="D30" s="39" t="s">
        <v>1197</v>
      </c>
      <c r="E30" s="30" t="s">
        <v>1198</v>
      </c>
      <c r="F30" s="33">
        <v>1</v>
      </c>
      <c r="G30" s="35" t="s">
        <v>33</v>
      </c>
      <c r="H30" s="35">
        <v>1731</v>
      </c>
      <c r="I30" s="35">
        <v>1200</v>
      </c>
      <c r="J30" s="36">
        <f t="shared" si="1"/>
        <v>1.4424999999999999</v>
      </c>
      <c r="K30" s="37" t="s">
        <v>1134</v>
      </c>
      <c r="L30" s="38"/>
    </row>
    <row r="31" spans="1:12" ht="75.75" thickBot="1" x14ac:dyDescent="0.3">
      <c r="A31" s="38" t="s">
        <v>1191</v>
      </c>
      <c r="B31" s="38" t="s">
        <v>1192</v>
      </c>
      <c r="C31" s="38" t="s">
        <v>1138</v>
      </c>
      <c r="D31" s="39" t="s">
        <v>1199</v>
      </c>
      <c r="E31" s="30" t="s">
        <v>1200</v>
      </c>
      <c r="F31" s="33">
        <v>1</v>
      </c>
      <c r="G31" s="35" t="s">
        <v>33</v>
      </c>
      <c r="H31" s="35">
        <v>154</v>
      </c>
      <c r="I31" s="35">
        <v>144</v>
      </c>
      <c r="J31" s="36">
        <f t="shared" si="1"/>
        <v>1.0694444444444444</v>
      </c>
      <c r="K31" s="37" t="s">
        <v>1134</v>
      </c>
      <c r="L31" s="38"/>
    </row>
    <row r="32" spans="1:12" ht="30.75" thickBot="1" x14ac:dyDescent="0.3">
      <c r="A32" s="38" t="s">
        <v>1201</v>
      </c>
      <c r="B32" s="38" t="s">
        <v>1202</v>
      </c>
      <c r="C32" s="38" t="s">
        <v>1138</v>
      </c>
      <c r="D32" s="39" t="s">
        <v>804</v>
      </c>
      <c r="E32" s="30" t="s">
        <v>1203</v>
      </c>
      <c r="F32" s="33">
        <v>0.35</v>
      </c>
      <c r="G32" s="35" t="s">
        <v>268</v>
      </c>
      <c r="H32" s="35">
        <v>622732</v>
      </c>
      <c r="I32" s="35">
        <v>488010</v>
      </c>
      <c r="J32" s="48">
        <f t="shared" si="1"/>
        <v>1.2760640150816582</v>
      </c>
      <c r="K32" s="37" t="s">
        <v>1134</v>
      </c>
      <c r="L32" s="38"/>
    </row>
    <row r="33" spans="1:12" ht="60.75" thickBot="1" x14ac:dyDescent="0.3">
      <c r="A33" s="38" t="s">
        <v>1201</v>
      </c>
      <c r="B33" s="38" t="s">
        <v>1202</v>
      </c>
      <c r="C33" s="38" t="s">
        <v>1138</v>
      </c>
      <c r="D33" s="39" t="s">
        <v>1204</v>
      </c>
      <c r="E33" s="30" t="s">
        <v>805</v>
      </c>
      <c r="F33" s="33">
        <v>0.3</v>
      </c>
      <c r="G33" s="35" t="s">
        <v>268</v>
      </c>
      <c r="H33" s="35">
        <v>181128</v>
      </c>
      <c r="I33" s="35">
        <v>272673</v>
      </c>
      <c r="J33" s="48">
        <f>+H33/I33</f>
        <v>0.66426818936968457</v>
      </c>
      <c r="K33" s="37" t="s">
        <v>1134</v>
      </c>
      <c r="L33" s="38"/>
    </row>
    <row r="34" spans="1:12" ht="45.75" thickBot="1" x14ac:dyDescent="0.3">
      <c r="A34" s="38" t="s">
        <v>1201</v>
      </c>
      <c r="B34" s="38" t="s">
        <v>1202</v>
      </c>
      <c r="C34" s="24" t="s">
        <v>1131</v>
      </c>
      <c r="D34" s="39" t="s">
        <v>1205</v>
      </c>
      <c r="E34" s="30" t="s">
        <v>1206</v>
      </c>
      <c r="F34" s="29" t="s">
        <v>808</v>
      </c>
      <c r="G34" s="35" t="s">
        <v>268</v>
      </c>
      <c r="H34" s="35">
        <v>535</v>
      </c>
      <c r="I34" s="35">
        <v>842</v>
      </c>
      <c r="J34" s="49">
        <f>+H34/I34</f>
        <v>0.63539192399049882</v>
      </c>
      <c r="K34" s="37" t="s">
        <v>1134</v>
      </c>
      <c r="L34" s="38"/>
    </row>
    <row r="35" spans="1:12" ht="90.75" thickBot="1" x14ac:dyDescent="0.3">
      <c r="A35" s="38" t="s">
        <v>1207</v>
      </c>
      <c r="B35" s="38" t="s">
        <v>1208</v>
      </c>
      <c r="C35" s="38" t="s">
        <v>1138</v>
      </c>
      <c r="D35" s="39" t="s">
        <v>1209</v>
      </c>
      <c r="E35" s="30" t="s">
        <v>1210</v>
      </c>
      <c r="F35" s="33">
        <v>0.1</v>
      </c>
      <c r="G35" s="35" t="s">
        <v>214</v>
      </c>
      <c r="H35" s="35">
        <v>759260</v>
      </c>
      <c r="I35" s="35">
        <v>11070455</v>
      </c>
      <c r="J35" s="36">
        <f t="shared" ref="J35:J57" si="2">+(H35/I35)</f>
        <v>6.85843535789631E-2</v>
      </c>
      <c r="K35" s="37" t="s">
        <v>1134</v>
      </c>
      <c r="L35" s="44"/>
    </row>
    <row r="36" spans="1:12" ht="60.75" thickBot="1" x14ac:dyDescent="0.3">
      <c r="A36" s="38" t="s">
        <v>1207</v>
      </c>
      <c r="B36" s="38" t="s">
        <v>1208</v>
      </c>
      <c r="C36" s="38" t="s">
        <v>1138</v>
      </c>
      <c r="D36" s="39" t="s">
        <v>1211</v>
      </c>
      <c r="E36" s="30" t="s">
        <v>1212</v>
      </c>
      <c r="F36" s="33">
        <v>0.2</v>
      </c>
      <c r="G36" s="35" t="s">
        <v>214</v>
      </c>
      <c r="H36" s="35">
        <v>3358</v>
      </c>
      <c r="I36" s="35">
        <v>32265</v>
      </c>
      <c r="J36" s="36">
        <f t="shared" si="2"/>
        <v>0.10407562374089571</v>
      </c>
      <c r="K36" s="37" t="s">
        <v>1134</v>
      </c>
      <c r="L36" s="44"/>
    </row>
    <row r="37" spans="1:12" ht="60.75" thickBot="1" x14ac:dyDescent="0.3">
      <c r="A37" s="38" t="s">
        <v>1207</v>
      </c>
      <c r="B37" s="38" t="s">
        <v>1208</v>
      </c>
      <c r="C37" s="24" t="s">
        <v>1131</v>
      </c>
      <c r="D37" s="39" t="s">
        <v>1213</v>
      </c>
      <c r="E37" s="30" t="s">
        <v>1214</v>
      </c>
      <c r="F37" s="33">
        <v>0.9</v>
      </c>
      <c r="G37" s="35" t="s">
        <v>850</v>
      </c>
      <c r="H37" s="35">
        <v>5801904</v>
      </c>
      <c r="I37" s="35">
        <v>7485197</v>
      </c>
      <c r="J37" s="36">
        <f t="shared" si="2"/>
        <v>0.77511707440699285</v>
      </c>
      <c r="K37" s="37" t="s">
        <v>1134</v>
      </c>
      <c r="L37" s="44"/>
    </row>
    <row r="38" spans="1:12" ht="60.75" thickBot="1" x14ac:dyDescent="0.3">
      <c r="A38" s="38" t="s">
        <v>1215</v>
      </c>
      <c r="B38" s="38" t="s">
        <v>1216</v>
      </c>
      <c r="C38" s="38" t="s">
        <v>1138</v>
      </c>
      <c r="D38" s="39" t="s">
        <v>209</v>
      </c>
      <c r="E38" s="30" t="s">
        <v>210</v>
      </c>
      <c r="F38" s="33">
        <v>1</v>
      </c>
      <c r="G38" s="35" t="s">
        <v>214</v>
      </c>
      <c r="H38" s="35">
        <v>187</v>
      </c>
      <c r="I38" s="35">
        <v>187</v>
      </c>
      <c r="J38" s="36">
        <f t="shared" si="2"/>
        <v>1</v>
      </c>
      <c r="K38" s="37" t="s">
        <v>1134</v>
      </c>
      <c r="L38" s="38"/>
    </row>
    <row r="39" spans="1:12" ht="75.75" thickBot="1" x14ac:dyDescent="0.3">
      <c r="A39" s="38" t="s">
        <v>1215</v>
      </c>
      <c r="B39" s="38" t="s">
        <v>1216</v>
      </c>
      <c r="C39" s="38" t="s">
        <v>1138</v>
      </c>
      <c r="D39" s="39" t="s">
        <v>217</v>
      </c>
      <c r="E39" s="30" t="s">
        <v>1217</v>
      </c>
      <c r="F39" s="33">
        <v>1</v>
      </c>
      <c r="G39" s="35" t="s">
        <v>214</v>
      </c>
      <c r="H39" s="35">
        <v>47</v>
      </c>
      <c r="I39" s="35">
        <v>47</v>
      </c>
      <c r="J39" s="36">
        <f t="shared" si="2"/>
        <v>1</v>
      </c>
      <c r="K39" s="37" t="s">
        <v>1134</v>
      </c>
      <c r="L39" s="38"/>
    </row>
    <row r="40" spans="1:12" ht="60.75" thickBot="1" x14ac:dyDescent="0.3">
      <c r="A40" s="38" t="s">
        <v>1215</v>
      </c>
      <c r="B40" s="38" t="s">
        <v>1216</v>
      </c>
      <c r="C40" s="38" t="s">
        <v>1138</v>
      </c>
      <c r="D40" s="39" t="s">
        <v>222</v>
      </c>
      <c r="E40" s="30" t="s">
        <v>1218</v>
      </c>
      <c r="F40" s="33">
        <v>1</v>
      </c>
      <c r="G40" s="35" t="s">
        <v>214</v>
      </c>
      <c r="H40" s="35">
        <v>2564</v>
      </c>
      <c r="I40" s="35">
        <v>2564</v>
      </c>
      <c r="J40" s="36">
        <f t="shared" si="2"/>
        <v>1</v>
      </c>
      <c r="K40" s="37" t="s">
        <v>1134</v>
      </c>
      <c r="L40" s="38"/>
    </row>
    <row r="41" spans="1:12" ht="45.75" thickBot="1" x14ac:dyDescent="0.3">
      <c r="A41" s="38" t="s">
        <v>1215</v>
      </c>
      <c r="B41" s="38" t="s">
        <v>1216</v>
      </c>
      <c r="C41" s="38" t="s">
        <v>1138</v>
      </c>
      <c r="D41" s="39" t="s">
        <v>228</v>
      </c>
      <c r="E41" s="30" t="s">
        <v>229</v>
      </c>
      <c r="F41" s="33">
        <v>1</v>
      </c>
      <c r="G41" s="35" t="s">
        <v>214</v>
      </c>
      <c r="H41" s="35">
        <v>88148</v>
      </c>
      <c r="I41" s="35">
        <v>88148</v>
      </c>
      <c r="J41" s="36">
        <f t="shared" si="2"/>
        <v>1</v>
      </c>
      <c r="K41" s="37" t="s">
        <v>1134</v>
      </c>
      <c r="L41" s="38"/>
    </row>
    <row r="42" spans="1:12" ht="60.75" thickBot="1" x14ac:dyDescent="0.3">
      <c r="A42" s="38" t="s">
        <v>1215</v>
      </c>
      <c r="B42" s="38" t="s">
        <v>1216</v>
      </c>
      <c r="C42" s="38" t="s">
        <v>1138</v>
      </c>
      <c r="D42" s="39" t="s">
        <v>810</v>
      </c>
      <c r="E42" s="30" t="s">
        <v>811</v>
      </c>
      <c r="F42" s="33">
        <v>1</v>
      </c>
      <c r="G42" s="35" t="s">
        <v>214</v>
      </c>
      <c r="H42" s="35">
        <v>12</v>
      </c>
      <c r="I42" s="35">
        <v>12</v>
      </c>
      <c r="J42" s="36">
        <f t="shared" si="2"/>
        <v>1</v>
      </c>
      <c r="K42" s="37" t="s">
        <v>1134</v>
      </c>
      <c r="L42" s="38"/>
    </row>
    <row r="43" spans="1:12" ht="75.75" thickBot="1" x14ac:dyDescent="0.3">
      <c r="A43" s="38" t="s">
        <v>1215</v>
      </c>
      <c r="B43" s="38" t="s">
        <v>1216</v>
      </c>
      <c r="C43" s="38" t="s">
        <v>1138</v>
      </c>
      <c r="D43" s="39" t="s">
        <v>813</v>
      </c>
      <c r="E43" s="30" t="s">
        <v>1219</v>
      </c>
      <c r="F43" s="29">
        <v>1005</v>
      </c>
      <c r="G43" s="35" t="s">
        <v>214</v>
      </c>
      <c r="H43" s="35">
        <v>84</v>
      </c>
      <c r="I43" s="35">
        <v>84</v>
      </c>
      <c r="J43" s="36">
        <f t="shared" si="2"/>
        <v>1</v>
      </c>
      <c r="K43" s="37" t="s">
        <v>1134</v>
      </c>
      <c r="L43" s="38"/>
    </row>
    <row r="44" spans="1:12" ht="60.75" thickBot="1" x14ac:dyDescent="0.3">
      <c r="A44" s="38" t="s">
        <v>1215</v>
      </c>
      <c r="B44" s="38" t="s">
        <v>1216</v>
      </c>
      <c r="C44" s="38" t="s">
        <v>1138</v>
      </c>
      <c r="D44" s="39" t="s">
        <v>1220</v>
      </c>
      <c r="E44" s="30" t="s">
        <v>1221</v>
      </c>
      <c r="F44" s="33">
        <v>1</v>
      </c>
      <c r="G44" s="35" t="s">
        <v>214</v>
      </c>
      <c r="H44" s="35">
        <v>7</v>
      </c>
      <c r="I44" s="35">
        <v>7</v>
      </c>
      <c r="J44" s="36">
        <f t="shared" si="2"/>
        <v>1</v>
      </c>
      <c r="K44" s="37" t="s">
        <v>1134</v>
      </c>
      <c r="L44" s="38"/>
    </row>
    <row r="45" spans="1:12" ht="45.75" thickBot="1" x14ac:dyDescent="0.3">
      <c r="A45" s="38" t="s">
        <v>1215</v>
      </c>
      <c r="B45" s="38" t="s">
        <v>1216</v>
      </c>
      <c r="C45" s="38" t="s">
        <v>1138</v>
      </c>
      <c r="D45" s="39" t="s">
        <v>821</v>
      </c>
      <c r="E45" s="30" t="s">
        <v>822</v>
      </c>
      <c r="F45" s="33">
        <v>1</v>
      </c>
      <c r="G45" s="35" t="s">
        <v>214</v>
      </c>
      <c r="H45" s="35">
        <v>27</v>
      </c>
      <c r="I45" s="35">
        <v>27</v>
      </c>
      <c r="J45" s="36">
        <f t="shared" si="2"/>
        <v>1</v>
      </c>
      <c r="K45" s="37" t="s">
        <v>1134</v>
      </c>
      <c r="L45" s="38"/>
    </row>
    <row r="46" spans="1:12" ht="90.75" thickBot="1" x14ac:dyDescent="0.3">
      <c r="A46" s="38" t="s">
        <v>1215</v>
      </c>
      <c r="B46" s="38" t="s">
        <v>1216</v>
      </c>
      <c r="C46" s="38" t="s">
        <v>1138</v>
      </c>
      <c r="D46" s="39" t="s">
        <v>823</v>
      </c>
      <c r="E46" s="30" t="s">
        <v>824</v>
      </c>
      <c r="F46" s="33">
        <v>1</v>
      </c>
      <c r="G46" s="35" t="s">
        <v>214</v>
      </c>
      <c r="H46" s="35">
        <v>25</v>
      </c>
      <c r="I46" s="35">
        <v>25</v>
      </c>
      <c r="J46" s="36">
        <f t="shared" si="2"/>
        <v>1</v>
      </c>
      <c r="K46" s="37" t="s">
        <v>1134</v>
      </c>
      <c r="L46" s="38"/>
    </row>
    <row r="47" spans="1:12" ht="150.75" thickBot="1" x14ac:dyDescent="0.3">
      <c r="A47" s="38" t="s">
        <v>1222</v>
      </c>
      <c r="B47" s="38" t="s">
        <v>1223</v>
      </c>
      <c r="C47" s="38" t="s">
        <v>1138</v>
      </c>
      <c r="D47" s="39" t="s">
        <v>428</v>
      </c>
      <c r="E47" s="30" t="s">
        <v>1224</v>
      </c>
      <c r="F47" s="33">
        <v>1</v>
      </c>
      <c r="G47" s="35" t="s">
        <v>214</v>
      </c>
      <c r="H47" s="42">
        <v>5165.1251000000002</v>
      </c>
      <c r="I47" s="35">
        <v>5342</v>
      </c>
      <c r="J47" s="55">
        <f t="shared" si="2"/>
        <v>0.96688976038936736</v>
      </c>
      <c r="K47" s="37" t="s">
        <v>1134</v>
      </c>
      <c r="L47" s="38"/>
    </row>
    <row r="48" spans="1:12" ht="45.75" thickBot="1" x14ac:dyDescent="0.3">
      <c r="A48" s="38" t="s">
        <v>1222</v>
      </c>
      <c r="B48" s="38" t="s">
        <v>1223</v>
      </c>
      <c r="C48" s="38" t="s">
        <v>1138</v>
      </c>
      <c r="D48" s="39" t="s">
        <v>1225</v>
      </c>
      <c r="E48" s="30" t="s">
        <v>1226</v>
      </c>
      <c r="F48" s="33">
        <v>1</v>
      </c>
      <c r="G48" s="35" t="s">
        <v>214</v>
      </c>
      <c r="H48" s="50">
        <v>5165.1211999999996</v>
      </c>
      <c r="I48" s="35">
        <v>5342</v>
      </c>
      <c r="J48" s="36">
        <f t="shared" si="2"/>
        <v>0.9668890303257206</v>
      </c>
      <c r="K48" s="37" t="s">
        <v>1134</v>
      </c>
      <c r="L48" s="38"/>
    </row>
    <row r="49" spans="1:12" ht="75.75" thickBot="1" x14ac:dyDescent="0.3">
      <c r="A49" s="38" t="s">
        <v>1227</v>
      </c>
      <c r="B49" s="38" t="s">
        <v>1228</v>
      </c>
      <c r="C49" s="24" t="s">
        <v>1131</v>
      </c>
      <c r="D49" s="39" t="s">
        <v>1229</v>
      </c>
      <c r="E49" s="30" t="s">
        <v>326</v>
      </c>
      <c r="F49" s="29" t="s">
        <v>1230</v>
      </c>
      <c r="G49" s="35" t="s">
        <v>214</v>
      </c>
      <c r="H49" s="35">
        <v>3</v>
      </c>
      <c r="I49" s="35">
        <v>4</v>
      </c>
      <c r="J49" s="36">
        <f t="shared" si="2"/>
        <v>0.75</v>
      </c>
      <c r="K49" s="43" t="s">
        <v>72</v>
      </c>
      <c r="L49" s="38"/>
    </row>
    <row r="50" spans="1:12" ht="30.75" thickBot="1" x14ac:dyDescent="0.3">
      <c r="A50" s="38" t="s">
        <v>1227</v>
      </c>
      <c r="B50" s="38" t="s">
        <v>1228</v>
      </c>
      <c r="C50" s="38" t="s">
        <v>1138</v>
      </c>
      <c r="D50" s="39" t="s">
        <v>461</v>
      </c>
      <c r="E50" s="30" t="s">
        <v>462</v>
      </c>
      <c r="F50" s="33">
        <v>1</v>
      </c>
      <c r="G50" s="35" t="s">
        <v>214</v>
      </c>
      <c r="H50" s="35">
        <v>135</v>
      </c>
      <c r="I50" s="35">
        <v>135</v>
      </c>
      <c r="J50" s="36">
        <f t="shared" si="2"/>
        <v>1</v>
      </c>
      <c r="K50" s="37" t="s">
        <v>1134</v>
      </c>
      <c r="L50" s="38"/>
    </row>
    <row r="51" spans="1:12" ht="30.75" thickBot="1" x14ac:dyDescent="0.3">
      <c r="A51" s="38" t="s">
        <v>1227</v>
      </c>
      <c r="B51" s="38" t="s">
        <v>1228</v>
      </c>
      <c r="C51" s="38" t="s">
        <v>1138</v>
      </c>
      <c r="D51" s="39" t="s">
        <v>466</v>
      </c>
      <c r="E51" s="30" t="s">
        <v>467</v>
      </c>
      <c r="F51" s="33">
        <v>1</v>
      </c>
      <c r="G51" s="35" t="s">
        <v>214</v>
      </c>
      <c r="H51" s="35">
        <v>130</v>
      </c>
      <c r="I51" s="35">
        <v>134</v>
      </c>
      <c r="J51" s="36">
        <f t="shared" si="2"/>
        <v>0.97014925373134331</v>
      </c>
      <c r="K51" s="37" t="s">
        <v>1134</v>
      </c>
      <c r="L51" s="38"/>
    </row>
    <row r="52" spans="1:12" ht="45.75" thickBot="1" x14ac:dyDescent="0.3">
      <c r="A52" s="38" t="s">
        <v>1227</v>
      </c>
      <c r="B52" s="38" t="s">
        <v>1228</v>
      </c>
      <c r="C52" s="38" t="s">
        <v>1138</v>
      </c>
      <c r="D52" s="39" t="s">
        <v>453</v>
      </c>
      <c r="E52" s="30" t="s">
        <v>454</v>
      </c>
      <c r="F52" s="33">
        <v>1</v>
      </c>
      <c r="G52" s="35" t="s">
        <v>214</v>
      </c>
      <c r="H52" s="35">
        <v>1331</v>
      </c>
      <c r="I52" s="35">
        <v>1379</v>
      </c>
      <c r="J52" s="36">
        <f t="shared" si="2"/>
        <v>0.96519216823785348</v>
      </c>
      <c r="K52" s="37" t="s">
        <v>1134</v>
      </c>
      <c r="L52" s="38"/>
    </row>
    <row r="53" spans="1:12" ht="45.75" thickBot="1" x14ac:dyDescent="0.3">
      <c r="A53" s="38" t="s">
        <v>1227</v>
      </c>
      <c r="B53" s="38" t="s">
        <v>1228</v>
      </c>
      <c r="C53" s="38" t="s">
        <v>1138</v>
      </c>
      <c r="D53" s="39" t="s">
        <v>457</v>
      </c>
      <c r="E53" s="30" t="s">
        <v>1231</v>
      </c>
      <c r="F53" s="33">
        <v>1</v>
      </c>
      <c r="G53" s="35" t="s">
        <v>214</v>
      </c>
      <c r="H53" s="35">
        <v>17270</v>
      </c>
      <c r="I53" s="35">
        <v>18090</v>
      </c>
      <c r="J53" s="36">
        <f t="shared" si="2"/>
        <v>0.95467108899944719</v>
      </c>
      <c r="K53" s="37" t="s">
        <v>1134</v>
      </c>
      <c r="L53" s="38"/>
    </row>
    <row r="54" spans="1:12" ht="60.75" thickBot="1" x14ac:dyDescent="0.3">
      <c r="A54" s="38" t="s">
        <v>1227</v>
      </c>
      <c r="B54" s="38" t="s">
        <v>1228</v>
      </c>
      <c r="C54" s="38" t="s">
        <v>1138</v>
      </c>
      <c r="D54" s="39" t="s">
        <v>1232</v>
      </c>
      <c r="E54" s="30" t="s">
        <v>1233</v>
      </c>
      <c r="F54" s="33">
        <v>1</v>
      </c>
      <c r="G54" s="35" t="s">
        <v>214</v>
      </c>
      <c r="H54" s="35">
        <v>19453</v>
      </c>
      <c r="I54" s="35">
        <v>19469</v>
      </c>
      <c r="J54" s="36">
        <f t="shared" si="2"/>
        <v>0.99917818069751918</v>
      </c>
      <c r="K54" s="37" t="s">
        <v>1134</v>
      </c>
      <c r="L54" s="38"/>
    </row>
    <row r="55" spans="1:12" ht="45.75" thickBot="1" x14ac:dyDescent="0.3">
      <c r="A55" s="38" t="s">
        <v>1227</v>
      </c>
      <c r="B55" s="38" t="s">
        <v>1228</v>
      </c>
      <c r="C55" s="38" t="s">
        <v>1138</v>
      </c>
      <c r="D55" s="39" t="s">
        <v>437</v>
      </c>
      <c r="E55" s="30" t="s">
        <v>1234</v>
      </c>
      <c r="F55" s="33">
        <v>1</v>
      </c>
      <c r="G55" s="35" t="s">
        <v>214</v>
      </c>
      <c r="H55" s="35">
        <v>18600</v>
      </c>
      <c r="I55" s="35">
        <v>19469</v>
      </c>
      <c r="J55" s="36">
        <f t="shared" si="2"/>
        <v>0.95536493913400788</v>
      </c>
      <c r="K55" s="37" t="s">
        <v>1134</v>
      </c>
      <c r="L55" s="38"/>
    </row>
    <row r="56" spans="1:12" ht="60.75" thickBot="1" x14ac:dyDescent="0.3">
      <c r="A56" s="38" t="s">
        <v>1235</v>
      </c>
      <c r="B56" s="38" t="s">
        <v>1236</v>
      </c>
      <c r="C56" s="38" t="s">
        <v>1138</v>
      </c>
      <c r="D56" s="39" t="s">
        <v>302</v>
      </c>
      <c r="E56" s="30" t="s">
        <v>303</v>
      </c>
      <c r="F56" s="33">
        <v>1</v>
      </c>
      <c r="G56" s="35" t="s">
        <v>214</v>
      </c>
      <c r="H56" s="35">
        <v>9</v>
      </c>
      <c r="I56" s="35">
        <v>9</v>
      </c>
      <c r="J56" s="36">
        <f t="shared" si="2"/>
        <v>1</v>
      </c>
      <c r="K56" s="37" t="s">
        <v>1134</v>
      </c>
      <c r="L56" s="38"/>
    </row>
    <row r="57" spans="1:12" ht="60.75" thickBot="1" x14ac:dyDescent="0.3">
      <c r="A57" s="38" t="s">
        <v>1235</v>
      </c>
      <c r="B57" s="38" t="s">
        <v>1236</v>
      </c>
      <c r="C57" s="24" t="s">
        <v>1131</v>
      </c>
      <c r="D57" s="39" t="s">
        <v>308</v>
      </c>
      <c r="E57" s="30" t="s">
        <v>303</v>
      </c>
      <c r="F57" s="33">
        <v>1</v>
      </c>
      <c r="G57" s="35" t="s">
        <v>214</v>
      </c>
      <c r="H57" s="35">
        <v>3</v>
      </c>
      <c r="I57" s="35">
        <v>3</v>
      </c>
      <c r="J57" s="36">
        <f t="shared" si="2"/>
        <v>1</v>
      </c>
      <c r="K57" s="37" t="s">
        <v>1134</v>
      </c>
      <c r="L57" s="38"/>
    </row>
    <row r="58" spans="1:12" ht="105.75" thickBot="1" x14ac:dyDescent="0.3">
      <c r="A58" s="38" t="s">
        <v>1237</v>
      </c>
      <c r="B58" s="38" t="s">
        <v>1238</v>
      </c>
      <c r="C58" s="38" t="s">
        <v>1138</v>
      </c>
      <c r="D58" s="39" t="s">
        <v>828</v>
      </c>
      <c r="E58" s="30" t="s">
        <v>829</v>
      </c>
      <c r="F58" s="29">
        <v>-1</v>
      </c>
      <c r="G58" s="35" t="s">
        <v>832</v>
      </c>
      <c r="H58" s="35" t="s">
        <v>830</v>
      </c>
      <c r="I58" s="35" t="s">
        <v>831</v>
      </c>
      <c r="J58" s="51">
        <v>-2</v>
      </c>
      <c r="K58" s="37" t="s">
        <v>1134</v>
      </c>
      <c r="L58" s="38" t="s">
        <v>1239</v>
      </c>
    </row>
    <row r="59" spans="1:12" ht="45.75" thickBot="1" x14ac:dyDescent="0.3">
      <c r="A59" s="38" t="s">
        <v>1237</v>
      </c>
      <c r="B59" s="38" t="s">
        <v>1238</v>
      </c>
      <c r="C59" s="38" t="s">
        <v>1138</v>
      </c>
      <c r="D59" s="39" t="s">
        <v>834</v>
      </c>
      <c r="E59" s="30" t="s">
        <v>835</v>
      </c>
      <c r="F59" s="33">
        <v>0.05</v>
      </c>
      <c r="G59" s="35" t="s">
        <v>214</v>
      </c>
      <c r="H59" s="35">
        <v>1</v>
      </c>
      <c r="I59" s="35">
        <v>716</v>
      </c>
      <c r="J59" s="52">
        <f>+H59/I59</f>
        <v>1.3966480446927375E-3</v>
      </c>
      <c r="K59" s="37" t="s">
        <v>1134</v>
      </c>
      <c r="L59" s="38"/>
    </row>
    <row r="60" spans="1:12" ht="105.75" thickBot="1" x14ac:dyDescent="0.3">
      <c r="A60" s="38" t="s">
        <v>1237</v>
      </c>
      <c r="B60" s="38" t="s">
        <v>1238</v>
      </c>
      <c r="C60" s="38" t="s">
        <v>1138</v>
      </c>
      <c r="D60" s="39" t="s">
        <v>839</v>
      </c>
      <c r="E60" s="30" t="s">
        <v>840</v>
      </c>
      <c r="F60" s="29" t="s">
        <v>1240</v>
      </c>
      <c r="G60" s="35" t="s">
        <v>832</v>
      </c>
      <c r="H60" s="35" t="s">
        <v>841</v>
      </c>
      <c r="I60" s="35" t="s">
        <v>842</v>
      </c>
      <c r="J60" s="51">
        <v>-1</v>
      </c>
      <c r="K60" s="37" t="s">
        <v>1134</v>
      </c>
      <c r="L60" s="38" t="s">
        <v>1241</v>
      </c>
    </row>
    <row r="61" spans="1:12" ht="45.75" thickBot="1" x14ac:dyDescent="0.3">
      <c r="A61" s="38" t="s">
        <v>1237</v>
      </c>
      <c r="B61" s="38" t="s">
        <v>1238</v>
      </c>
      <c r="C61" s="24" t="s">
        <v>1131</v>
      </c>
      <c r="D61" s="39" t="s">
        <v>844</v>
      </c>
      <c r="E61" s="30" t="s">
        <v>845</v>
      </c>
      <c r="F61" s="29" t="s">
        <v>1242</v>
      </c>
      <c r="G61" s="35" t="s">
        <v>850</v>
      </c>
      <c r="H61" s="35">
        <v>485.95104900000001</v>
      </c>
      <c r="I61" s="35">
        <v>201</v>
      </c>
      <c r="J61" s="53">
        <f t="shared" ref="J61:J71" si="3">+H61/I61</f>
        <v>2.4176669104477613</v>
      </c>
      <c r="K61" s="37" t="s">
        <v>1134</v>
      </c>
      <c r="L61" s="38"/>
    </row>
    <row r="62" spans="1:12" ht="45.75" thickBot="1" x14ac:dyDescent="0.3">
      <c r="A62" s="38" t="s">
        <v>1237</v>
      </c>
      <c r="B62" s="38" t="s">
        <v>1238</v>
      </c>
      <c r="C62" s="24" t="s">
        <v>1131</v>
      </c>
      <c r="D62" s="39" t="s">
        <v>852</v>
      </c>
      <c r="E62" s="30" t="s">
        <v>853</v>
      </c>
      <c r="F62" s="29" t="s">
        <v>1242</v>
      </c>
      <c r="G62" s="35" t="s">
        <v>850</v>
      </c>
      <c r="H62" s="35">
        <v>75</v>
      </c>
      <c r="I62" s="35">
        <v>27</v>
      </c>
      <c r="J62" s="53">
        <f t="shared" si="3"/>
        <v>2.7777777777777777</v>
      </c>
      <c r="K62" s="37" t="s">
        <v>1134</v>
      </c>
      <c r="L62" s="38"/>
    </row>
    <row r="63" spans="1:12" ht="45.75" thickBot="1" x14ac:dyDescent="0.3">
      <c r="A63" s="38" t="s">
        <v>1237</v>
      </c>
      <c r="B63" s="38" t="s">
        <v>1238</v>
      </c>
      <c r="C63" s="38" t="s">
        <v>1138</v>
      </c>
      <c r="D63" s="39" t="s">
        <v>854</v>
      </c>
      <c r="E63" s="30" t="s">
        <v>855</v>
      </c>
      <c r="F63" s="29" t="s">
        <v>858</v>
      </c>
      <c r="G63" s="35" t="s">
        <v>850</v>
      </c>
      <c r="H63" s="35">
        <v>99</v>
      </c>
      <c r="I63" s="35">
        <v>6</v>
      </c>
      <c r="J63" s="53">
        <f t="shared" si="3"/>
        <v>16.5</v>
      </c>
      <c r="K63" s="37" t="s">
        <v>1134</v>
      </c>
      <c r="L63" s="38"/>
    </row>
    <row r="64" spans="1:12" ht="45.75" thickBot="1" x14ac:dyDescent="0.3">
      <c r="A64" s="38" t="s">
        <v>1237</v>
      </c>
      <c r="B64" s="38" t="s">
        <v>1238</v>
      </c>
      <c r="C64" s="38" t="s">
        <v>1138</v>
      </c>
      <c r="D64" s="39" t="s">
        <v>860</v>
      </c>
      <c r="E64" s="30" t="s">
        <v>861</v>
      </c>
      <c r="F64" s="29" t="s">
        <v>858</v>
      </c>
      <c r="G64" s="35" t="s">
        <v>850</v>
      </c>
      <c r="H64" s="35">
        <v>1673</v>
      </c>
      <c r="I64" s="35">
        <v>40</v>
      </c>
      <c r="J64" s="54">
        <f t="shared" si="3"/>
        <v>41.825000000000003</v>
      </c>
      <c r="K64" s="43" t="s">
        <v>72</v>
      </c>
      <c r="L64" s="38"/>
    </row>
    <row r="65" spans="1:14" ht="60.75" thickBot="1" x14ac:dyDescent="0.3">
      <c r="A65" s="38" t="s">
        <v>1237</v>
      </c>
      <c r="B65" s="38" t="s">
        <v>1238</v>
      </c>
      <c r="C65" s="38" t="s">
        <v>1155</v>
      </c>
      <c r="D65" s="39" t="s">
        <v>865</v>
      </c>
      <c r="E65" s="30" t="s">
        <v>364</v>
      </c>
      <c r="F65" s="33">
        <v>0.9</v>
      </c>
      <c r="G65" s="35" t="s">
        <v>214</v>
      </c>
      <c r="H65" s="35">
        <v>633</v>
      </c>
      <c r="I65" s="35">
        <v>687</v>
      </c>
      <c r="J65" s="36">
        <f t="shared" si="3"/>
        <v>0.92139737991266379</v>
      </c>
      <c r="K65" s="37" t="s">
        <v>1134</v>
      </c>
      <c r="L65" s="38"/>
    </row>
    <row r="66" spans="1:14" ht="45.75" thickBot="1" x14ac:dyDescent="0.3">
      <c r="A66" s="38" t="s">
        <v>1237</v>
      </c>
      <c r="B66" s="38" t="s">
        <v>1238</v>
      </c>
      <c r="C66" s="38" t="s">
        <v>1155</v>
      </c>
      <c r="D66" s="39" t="s">
        <v>866</v>
      </c>
      <c r="E66" s="30" t="s">
        <v>867</v>
      </c>
      <c r="F66" s="33">
        <v>0.9</v>
      </c>
      <c r="G66" s="35" t="s">
        <v>214</v>
      </c>
      <c r="H66" s="35">
        <v>1562</v>
      </c>
      <c r="I66" s="35">
        <v>1721</v>
      </c>
      <c r="J66" s="36">
        <f t="shared" si="3"/>
        <v>0.90761185357350382</v>
      </c>
      <c r="K66" s="37" t="s">
        <v>1134</v>
      </c>
      <c r="L66" s="38"/>
    </row>
    <row r="67" spans="1:14" ht="45.75" thickBot="1" x14ac:dyDescent="0.3">
      <c r="A67" s="38" t="s">
        <v>1237</v>
      </c>
      <c r="B67" s="38" t="s">
        <v>1238</v>
      </c>
      <c r="C67" s="38" t="s">
        <v>1155</v>
      </c>
      <c r="D67" s="39" t="s">
        <v>868</v>
      </c>
      <c r="E67" s="30" t="s">
        <v>869</v>
      </c>
      <c r="F67" s="33">
        <v>0.9</v>
      </c>
      <c r="G67" s="35" t="s">
        <v>214</v>
      </c>
      <c r="H67" s="35">
        <v>713</v>
      </c>
      <c r="I67" s="35">
        <v>804</v>
      </c>
      <c r="J67" s="36">
        <f t="shared" si="3"/>
        <v>0.88681592039800994</v>
      </c>
      <c r="K67" s="37" t="s">
        <v>1134</v>
      </c>
      <c r="L67" s="38"/>
    </row>
    <row r="68" spans="1:14" ht="45.75" thickBot="1" x14ac:dyDescent="0.3">
      <c r="A68" s="38" t="s">
        <v>1237</v>
      </c>
      <c r="B68" s="38" t="s">
        <v>1238</v>
      </c>
      <c r="C68" s="38" t="s">
        <v>1138</v>
      </c>
      <c r="D68" s="39" t="s">
        <v>870</v>
      </c>
      <c r="E68" s="30" t="s">
        <v>1243</v>
      </c>
      <c r="F68" s="33">
        <v>1</v>
      </c>
      <c r="G68" s="35" t="s">
        <v>214</v>
      </c>
      <c r="H68" s="35">
        <v>658</v>
      </c>
      <c r="I68" s="35">
        <v>721</v>
      </c>
      <c r="J68" s="36">
        <f t="shared" si="3"/>
        <v>0.91262135922330101</v>
      </c>
      <c r="K68" s="37" t="s">
        <v>1134</v>
      </c>
      <c r="L68" s="38"/>
    </row>
    <row r="69" spans="1:14" ht="45.75" thickBot="1" x14ac:dyDescent="0.3">
      <c r="A69" s="38" t="s">
        <v>1237</v>
      </c>
      <c r="B69" s="38" t="s">
        <v>1238</v>
      </c>
      <c r="C69" s="38" t="s">
        <v>1138</v>
      </c>
      <c r="D69" s="39" t="s">
        <v>874</v>
      </c>
      <c r="E69" s="30" t="s">
        <v>1244</v>
      </c>
      <c r="F69" s="33">
        <v>1</v>
      </c>
      <c r="G69" s="35" t="s">
        <v>214</v>
      </c>
      <c r="H69" s="35">
        <v>727</v>
      </c>
      <c r="I69" s="35">
        <v>752</v>
      </c>
      <c r="J69" s="36">
        <f t="shared" si="3"/>
        <v>0.9667553191489362</v>
      </c>
      <c r="K69" s="37" t="s">
        <v>1134</v>
      </c>
      <c r="L69" s="38"/>
    </row>
    <row r="70" spans="1:14" ht="45.75" thickBot="1" x14ac:dyDescent="0.3">
      <c r="A70" s="38" t="s">
        <v>1237</v>
      </c>
      <c r="B70" s="38" t="s">
        <v>1238</v>
      </c>
      <c r="C70" s="38" t="s">
        <v>1138</v>
      </c>
      <c r="D70" s="39" t="s">
        <v>876</v>
      </c>
      <c r="E70" s="30" t="s">
        <v>1245</v>
      </c>
      <c r="F70" s="33">
        <v>1</v>
      </c>
      <c r="G70" s="35" t="s">
        <v>214</v>
      </c>
      <c r="H70" s="35">
        <v>721</v>
      </c>
      <c r="I70" s="35">
        <v>721</v>
      </c>
      <c r="J70" s="36">
        <f t="shared" si="3"/>
        <v>1</v>
      </c>
      <c r="K70" s="37" t="s">
        <v>1134</v>
      </c>
      <c r="L70" s="38"/>
    </row>
    <row r="71" spans="1:14" ht="45.75" thickBot="1" x14ac:dyDescent="0.3">
      <c r="A71" s="38" t="s">
        <v>1237</v>
      </c>
      <c r="B71" s="38" t="s">
        <v>1238</v>
      </c>
      <c r="C71" s="38" t="s">
        <v>1138</v>
      </c>
      <c r="D71" s="39" t="s">
        <v>878</v>
      </c>
      <c r="E71" s="30" t="s">
        <v>879</v>
      </c>
      <c r="F71" s="33">
        <v>0.9</v>
      </c>
      <c r="G71" s="35" t="s">
        <v>214</v>
      </c>
      <c r="H71" s="35">
        <v>212</v>
      </c>
      <c r="I71" s="35">
        <v>232</v>
      </c>
      <c r="J71" s="36">
        <f t="shared" si="3"/>
        <v>0.91379310344827591</v>
      </c>
      <c r="K71" s="37" t="s">
        <v>1134</v>
      </c>
      <c r="L71" s="38"/>
    </row>
    <row r="72" spans="1:14" ht="45.75" thickBot="1" x14ac:dyDescent="0.3">
      <c r="A72" s="38" t="s">
        <v>1237</v>
      </c>
      <c r="B72" s="38" t="s">
        <v>1238</v>
      </c>
      <c r="C72" s="38" t="s">
        <v>1155</v>
      </c>
      <c r="D72" s="39" t="s">
        <v>443</v>
      </c>
      <c r="E72" s="30" t="s">
        <v>444</v>
      </c>
      <c r="F72" s="33">
        <v>0.05</v>
      </c>
      <c r="G72" s="35" t="s">
        <v>832</v>
      </c>
      <c r="H72" s="35">
        <v>201</v>
      </c>
      <c r="I72" s="35">
        <v>184</v>
      </c>
      <c r="J72" s="55">
        <f>+(H72/I72)-1</f>
        <v>9.2391304347826164E-2</v>
      </c>
      <c r="K72" s="56" t="s">
        <v>1134</v>
      </c>
      <c r="L72" s="38"/>
    </row>
    <row r="73" spans="1:14" ht="45.75" thickBot="1" x14ac:dyDescent="0.3">
      <c r="A73" s="38" t="s">
        <v>1237</v>
      </c>
      <c r="B73" s="38" t="s">
        <v>1238</v>
      </c>
      <c r="C73" s="38" t="s">
        <v>1155</v>
      </c>
      <c r="D73" s="39" t="s">
        <v>398</v>
      </c>
      <c r="E73" s="30" t="s">
        <v>399</v>
      </c>
      <c r="F73" s="33">
        <v>0.1</v>
      </c>
      <c r="G73" s="35" t="s">
        <v>832</v>
      </c>
      <c r="H73" s="35">
        <v>202</v>
      </c>
      <c r="I73" s="35">
        <v>278</v>
      </c>
      <c r="J73" s="36">
        <f>+(I73/H73)-1</f>
        <v>0.37623762376237613</v>
      </c>
      <c r="K73" s="37" t="s">
        <v>1134</v>
      </c>
      <c r="L73" s="38"/>
    </row>
    <row r="74" spans="1:14" ht="45.75" thickBot="1" x14ac:dyDescent="0.3">
      <c r="A74" s="38" t="s">
        <v>1237</v>
      </c>
      <c r="B74" s="38" t="s">
        <v>1238</v>
      </c>
      <c r="C74" s="38" t="s">
        <v>1155</v>
      </c>
      <c r="D74" s="39" t="s">
        <v>886</v>
      </c>
      <c r="E74" s="30" t="s">
        <v>1246</v>
      </c>
      <c r="F74" s="33">
        <v>0.8</v>
      </c>
      <c r="G74" s="35" t="s">
        <v>1148</v>
      </c>
      <c r="H74" s="42">
        <v>0.47</v>
      </c>
      <c r="I74" s="42">
        <v>0.77</v>
      </c>
      <c r="J74" s="36">
        <f>+(I74/H74)-1</f>
        <v>0.63829787234042556</v>
      </c>
      <c r="K74" s="43" t="s">
        <v>72</v>
      </c>
      <c r="L74" s="38"/>
    </row>
    <row r="75" spans="1:14" ht="45.75" thickBot="1" x14ac:dyDescent="0.3">
      <c r="A75" s="38" t="s">
        <v>1237</v>
      </c>
      <c r="B75" s="38" t="s">
        <v>1238</v>
      </c>
      <c r="C75" s="24" t="s">
        <v>1131</v>
      </c>
      <c r="D75" s="39" t="s">
        <v>891</v>
      </c>
      <c r="E75" s="30" t="s">
        <v>892</v>
      </c>
      <c r="F75" s="29" t="s">
        <v>1247</v>
      </c>
      <c r="G75" s="35" t="s">
        <v>268</v>
      </c>
      <c r="H75" s="35">
        <v>1686</v>
      </c>
      <c r="I75" s="35">
        <v>791</v>
      </c>
      <c r="J75" s="57">
        <f t="shared" ref="J75:J81" si="4">+H75/I75</f>
        <v>2.1314791403286977</v>
      </c>
      <c r="K75" s="37" t="s">
        <v>1134</v>
      </c>
      <c r="L75" s="38"/>
    </row>
    <row r="76" spans="1:14" ht="45.75" thickBot="1" x14ac:dyDescent="0.3">
      <c r="A76" s="38" t="s">
        <v>1237</v>
      </c>
      <c r="B76" s="38" t="s">
        <v>1238</v>
      </c>
      <c r="C76" s="24" t="s">
        <v>1131</v>
      </c>
      <c r="D76" s="39" t="s">
        <v>896</v>
      </c>
      <c r="E76" s="30" t="s">
        <v>897</v>
      </c>
      <c r="F76" s="33">
        <v>1</v>
      </c>
      <c r="G76" s="35" t="s">
        <v>214</v>
      </c>
      <c r="H76" s="35">
        <v>8</v>
      </c>
      <c r="I76" s="35">
        <v>8</v>
      </c>
      <c r="J76" s="36">
        <f t="shared" si="4"/>
        <v>1</v>
      </c>
      <c r="K76" s="37" t="s">
        <v>1134</v>
      </c>
      <c r="L76" s="38"/>
    </row>
    <row r="77" spans="1:14" ht="90.75" thickBot="1" x14ac:dyDescent="0.3">
      <c r="A77" s="38" t="s">
        <v>1248</v>
      </c>
      <c r="B77" s="38" t="s">
        <v>1249</v>
      </c>
      <c r="C77" s="38" t="s">
        <v>1138</v>
      </c>
      <c r="D77" s="39" t="s">
        <v>474</v>
      </c>
      <c r="E77" s="30" t="s">
        <v>475</v>
      </c>
      <c r="F77" s="33">
        <v>0.2</v>
      </c>
      <c r="G77" s="35" t="s">
        <v>214</v>
      </c>
      <c r="H77" s="35">
        <v>42</v>
      </c>
      <c r="I77" s="35">
        <v>903</v>
      </c>
      <c r="J77" s="36">
        <f t="shared" si="4"/>
        <v>4.6511627906976744E-2</v>
      </c>
      <c r="K77" s="37" t="s">
        <v>1134</v>
      </c>
      <c r="L77" s="38"/>
    </row>
    <row r="78" spans="1:14" ht="60.75" thickBot="1" x14ac:dyDescent="0.3">
      <c r="A78" s="38" t="s">
        <v>1248</v>
      </c>
      <c r="B78" s="38" t="s">
        <v>1249</v>
      </c>
      <c r="C78" s="38" t="s">
        <v>1155</v>
      </c>
      <c r="D78" s="39" t="s">
        <v>481</v>
      </c>
      <c r="E78" s="30" t="s">
        <v>482</v>
      </c>
      <c r="F78" s="33">
        <v>1</v>
      </c>
      <c r="G78" s="35" t="s">
        <v>214</v>
      </c>
      <c r="H78" s="35">
        <v>310</v>
      </c>
      <c r="I78" s="35">
        <v>310</v>
      </c>
      <c r="J78" s="36">
        <f t="shared" si="4"/>
        <v>1</v>
      </c>
      <c r="K78" s="37" t="s">
        <v>1134</v>
      </c>
      <c r="L78" s="38"/>
    </row>
    <row r="79" spans="1:14" ht="60.75" thickBot="1" x14ac:dyDescent="0.3">
      <c r="A79" s="38" t="s">
        <v>1250</v>
      </c>
      <c r="B79" s="38" t="s">
        <v>1251</v>
      </c>
      <c r="C79" s="38" t="s">
        <v>1138</v>
      </c>
      <c r="D79" s="39" t="s">
        <v>405</v>
      </c>
      <c r="E79" s="30" t="s">
        <v>899</v>
      </c>
      <c r="F79" s="33">
        <v>1</v>
      </c>
      <c r="G79" s="35" t="s">
        <v>214</v>
      </c>
      <c r="H79" s="35">
        <v>53</v>
      </c>
      <c r="I79" s="35">
        <v>53</v>
      </c>
      <c r="J79" s="36">
        <f t="shared" si="4"/>
        <v>1</v>
      </c>
      <c r="K79" s="37" t="s">
        <v>1134</v>
      </c>
      <c r="L79" s="38" t="s">
        <v>1252</v>
      </c>
    </row>
    <row r="80" spans="1:14" ht="60.75" thickBot="1" x14ac:dyDescent="0.3">
      <c r="A80" s="38" t="s">
        <v>1253</v>
      </c>
      <c r="B80" s="38" t="s">
        <v>1254</v>
      </c>
      <c r="C80" s="38" t="s">
        <v>1155</v>
      </c>
      <c r="D80" s="39" t="s">
        <v>490</v>
      </c>
      <c r="E80" s="30" t="s">
        <v>491</v>
      </c>
      <c r="F80" s="33">
        <v>1</v>
      </c>
      <c r="G80" s="35" t="s">
        <v>214</v>
      </c>
      <c r="H80" s="35">
        <v>71</v>
      </c>
      <c r="I80" s="35">
        <v>72</v>
      </c>
      <c r="J80" s="36">
        <f t="shared" si="4"/>
        <v>0.98611111111111116</v>
      </c>
      <c r="K80" s="37" t="s">
        <v>1134</v>
      </c>
      <c r="L80" s="38"/>
      <c r="N80" s="59">
        <f>3/80</f>
        <v>3.7499999999999999E-2</v>
      </c>
    </row>
    <row r="81" spans="1:12" ht="75.75" thickBot="1" x14ac:dyDescent="0.3">
      <c r="A81" s="38" t="s">
        <v>1253</v>
      </c>
      <c r="B81" s="38" t="s">
        <v>1254</v>
      </c>
      <c r="C81" s="24" t="s">
        <v>1131</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0C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C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workbookViewId="0">
      <selection activeCell="C43" sqref="C43"/>
    </sheetView>
  </sheetViews>
  <sheetFormatPr baseColWidth="10" defaultColWidth="11.42578125" defaultRowHeight="12.75" x14ac:dyDescent="0.2"/>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x14ac:dyDescent="0.2">
      <c r="A1" s="66" t="s">
        <v>1118</v>
      </c>
      <c r="B1" s="67" t="s">
        <v>9</v>
      </c>
      <c r="C1" s="66" t="s">
        <v>1255</v>
      </c>
      <c r="D1" s="66" t="s">
        <v>1256</v>
      </c>
      <c r="E1" s="66" t="s">
        <v>1257</v>
      </c>
      <c r="F1" s="66" t="s">
        <v>1258</v>
      </c>
    </row>
    <row r="2" spans="1:6" ht="14.25" customHeight="1" x14ac:dyDescent="0.2">
      <c r="A2" s="68" t="s">
        <v>1259</v>
      </c>
      <c r="C2" s="68" t="s">
        <v>1259</v>
      </c>
      <c r="D2" s="68" t="s">
        <v>1259</v>
      </c>
      <c r="E2" s="68" t="s">
        <v>1259</v>
      </c>
      <c r="F2" s="68" t="s">
        <v>1259</v>
      </c>
    </row>
    <row r="3" spans="1:6" ht="14.25" customHeight="1" x14ac:dyDescent="0.2">
      <c r="A3" s="68" t="s">
        <v>1260</v>
      </c>
      <c r="B3" s="69" t="s">
        <v>63</v>
      </c>
      <c r="C3" s="68" t="s">
        <v>27</v>
      </c>
      <c r="D3" s="68" t="s">
        <v>68</v>
      </c>
      <c r="E3" s="68" t="s">
        <v>1261</v>
      </c>
      <c r="F3" s="70" t="s">
        <v>1262</v>
      </c>
    </row>
    <row r="4" spans="1:6" ht="14.25" customHeight="1" x14ac:dyDescent="0.2">
      <c r="A4" s="68" t="s">
        <v>1263</v>
      </c>
      <c r="B4" s="69" t="s">
        <v>121</v>
      </c>
      <c r="C4" s="68" t="s">
        <v>53</v>
      </c>
      <c r="D4" s="68" t="s">
        <v>133</v>
      </c>
      <c r="E4" s="68" t="s">
        <v>86</v>
      </c>
      <c r="F4" s="70" t="s">
        <v>1264</v>
      </c>
    </row>
    <row r="5" spans="1:6" ht="14.25" customHeight="1" x14ac:dyDescent="0.2">
      <c r="A5" s="68" t="s">
        <v>1265</v>
      </c>
      <c r="B5" s="69" t="s">
        <v>153</v>
      </c>
      <c r="C5" s="68" t="s">
        <v>1266</v>
      </c>
      <c r="D5" s="68" t="s">
        <v>39</v>
      </c>
      <c r="F5" s="70" t="s">
        <v>1267</v>
      </c>
    </row>
    <row r="6" spans="1:6" ht="14.25" customHeight="1" x14ac:dyDescent="0.2">
      <c r="A6" s="68" t="s">
        <v>1268</v>
      </c>
      <c r="B6" s="69" t="s">
        <v>22</v>
      </c>
      <c r="C6" s="68" t="s">
        <v>1269</v>
      </c>
      <c r="F6" s="70" t="s">
        <v>1270</v>
      </c>
    </row>
    <row r="7" spans="1:6" ht="14.25" customHeight="1" x14ac:dyDescent="0.2">
      <c r="A7" s="68" t="s">
        <v>1271</v>
      </c>
      <c r="B7" s="69" t="s">
        <v>503</v>
      </c>
      <c r="C7" s="68" t="s">
        <v>599</v>
      </c>
      <c r="F7" s="70" t="s">
        <v>1272</v>
      </c>
    </row>
    <row r="8" spans="1:6" ht="14.25" customHeight="1" x14ac:dyDescent="0.2">
      <c r="A8" s="68" t="s">
        <v>1273</v>
      </c>
      <c r="B8" s="69" t="s">
        <v>138</v>
      </c>
      <c r="F8" s="70" t="s">
        <v>1274</v>
      </c>
    </row>
    <row r="9" spans="1:6" ht="14.25" customHeight="1" x14ac:dyDescent="0.2">
      <c r="A9" s="68" t="s">
        <v>1275</v>
      </c>
      <c r="B9" s="69" t="s">
        <v>169</v>
      </c>
      <c r="F9" s="70" t="s">
        <v>1276</v>
      </c>
    </row>
    <row r="10" spans="1:6" ht="14.25" customHeight="1" x14ac:dyDescent="0.2">
      <c r="A10" s="68" t="s">
        <v>1277</v>
      </c>
      <c r="B10" s="69" t="s">
        <v>184</v>
      </c>
      <c r="F10" s="70" t="s">
        <v>1278</v>
      </c>
    </row>
    <row r="11" spans="1:6" ht="14.25" customHeight="1" x14ac:dyDescent="0.2">
      <c r="A11" s="68" t="s">
        <v>1279</v>
      </c>
      <c r="B11" s="69" t="s">
        <v>254</v>
      </c>
    </row>
    <row r="12" spans="1:6" ht="14.25" customHeight="1" x14ac:dyDescent="0.2">
      <c r="A12" s="68" t="s">
        <v>1280</v>
      </c>
      <c r="B12" s="69" t="s">
        <v>1281</v>
      </c>
    </row>
    <row r="13" spans="1:6" ht="14.25" customHeight="1" x14ac:dyDescent="0.2">
      <c r="A13" s="68" t="s">
        <v>1282</v>
      </c>
      <c r="B13" s="69" t="s">
        <v>207</v>
      </c>
    </row>
    <row r="14" spans="1:6" ht="14.25" customHeight="1" x14ac:dyDescent="0.2">
      <c r="A14" s="68" t="s">
        <v>1283</v>
      </c>
      <c r="B14" s="69" t="s">
        <v>426</v>
      </c>
    </row>
    <row r="15" spans="1:6" ht="14.25" customHeight="1" x14ac:dyDescent="0.2">
      <c r="A15" s="68" t="s">
        <v>1284</v>
      </c>
      <c r="B15" s="69" t="s">
        <v>323</v>
      </c>
    </row>
    <row r="16" spans="1:6" ht="14.25" customHeight="1" x14ac:dyDescent="0.2">
      <c r="A16" s="68" t="s">
        <v>1285</v>
      </c>
      <c r="B16" s="69" t="s">
        <v>300</v>
      </c>
    </row>
    <row r="17" spans="1:4" ht="14.25" customHeight="1" x14ac:dyDescent="0.2">
      <c r="A17" s="68" t="s">
        <v>1286</v>
      </c>
      <c r="B17" s="69" t="s">
        <v>335</v>
      </c>
    </row>
    <row r="18" spans="1:4" ht="14.25" customHeight="1" x14ac:dyDescent="0.2">
      <c r="A18" s="68" t="s">
        <v>1287</v>
      </c>
      <c r="B18" s="69" t="s">
        <v>472</v>
      </c>
    </row>
    <row r="19" spans="1:4" ht="14.25" customHeight="1" x14ac:dyDescent="0.2">
      <c r="A19" s="68" t="s">
        <v>1288</v>
      </c>
      <c r="B19" s="69" t="s">
        <v>403</v>
      </c>
    </row>
    <row r="20" spans="1:4" ht="14.25" customHeight="1" x14ac:dyDescent="0.2">
      <c r="A20" s="68" t="s">
        <v>1289</v>
      </c>
      <c r="B20" s="69" t="s">
        <v>1290</v>
      </c>
    </row>
    <row r="23" spans="1:4" x14ac:dyDescent="0.2">
      <c r="B23" s="71">
        <v>0.245</v>
      </c>
      <c r="C23" s="71">
        <v>0.14499999999999999</v>
      </c>
      <c r="D23" s="71">
        <v>0.44500000000000001</v>
      </c>
    </row>
    <row r="24" spans="1:4" x14ac:dyDescent="0.2">
      <c r="B24" s="71">
        <v>9.5000000000000001E-2</v>
      </c>
      <c r="C24" s="71">
        <v>9.5000000000000001E-2</v>
      </c>
      <c r="D24" s="71">
        <v>0.115</v>
      </c>
    </row>
    <row r="25" spans="1:4" x14ac:dyDescent="0.2">
      <c r="B25" s="71">
        <v>0.29499999999999998</v>
      </c>
      <c r="C25" s="71">
        <v>0.44500000000000001</v>
      </c>
      <c r="D25" s="71">
        <v>0.20499999999999999</v>
      </c>
    </row>
    <row r="26" spans="1:4" x14ac:dyDescent="0.2">
      <c r="B26" s="71">
        <v>0.34499999999999997</v>
      </c>
      <c r="C26" s="71">
        <v>0.29499999999999998</v>
      </c>
      <c r="D26" s="71">
        <v>0.20499999999999999</v>
      </c>
    </row>
    <row r="28" spans="1:4" ht="15" x14ac:dyDescent="0.25">
      <c r="B28" s="72">
        <v>1</v>
      </c>
      <c r="C28" s="73">
        <v>0.79500000000000004</v>
      </c>
    </row>
    <row r="29" spans="1:4" ht="15" x14ac:dyDescent="0.25">
      <c r="B29" s="72">
        <v>0.79400000000000004</v>
      </c>
      <c r="C29" s="73">
        <v>0.495</v>
      </c>
    </row>
    <row r="30" spans="1:4" ht="15" x14ac:dyDescent="0.2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Y98"/>
  <sheetViews>
    <sheetView showGridLines="0" tabSelected="1" zoomScale="23" zoomScaleNormal="115" zoomScaleSheetLayoutView="100" workbookViewId="0">
      <selection activeCell="AI9" sqref="AI9"/>
    </sheetView>
  </sheetViews>
  <sheetFormatPr baseColWidth="10" defaultColWidth="11.42578125" defaultRowHeight="12.75" x14ac:dyDescent="0.25"/>
  <cols>
    <col min="1" max="1" width="24" style="3" customWidth="1"/>
    <col min="2" max="2" width="6.5703125" style="3" customWidth="1"/>
    <col min="3" max="3" width="7.5703125" style="4" customWidth="1"/>
    <col min="4" max="4" width="10.42578125" style="110" customWidth="1"/>
    <col min="5" max="5" width="49" style="111" customWidth="1"/>
    <col min="6" max="6" width="15" style="110" customWidth="1"/>
    <col min="7" max="7" width="20.85546875" style="111" customWidth="1"/>
    <col min="8" max="8" width="30.85546875" style="111" customWidth="1"/>
    <col min="9" max="9" width="18.5703125" style="3" customWidth="1"/>
    <col min="10" max="10" width="15.85546875" style="112" customWidth="1"/>
    <col min="11" max="11" width="15.85546875" style="112" hidden="1" customWidth="1"/>
    <col min="12" max="12" width="12.140625" style="112" customWidth="1"/>
    <col min="13" max="13" width="15.7109375" style="112" customWidth="1"/>
    <col min="14" max="15" width="15.85546875" style="7" customWidth="1"/>
    <col min="16" max="17" width="13.140625" style="3" customWidth="1"/>
    <col min="18" max="20" width="15" style="4" customWidth="1"/>
    <col min="21" max="23" width="7.140625" style="112" customWidth="1"/>
    <col min="24" max="24" width="10.7109375" style="112" customWidth="1"/>
    <col min="25" max="25" width="7.140625" style="4" customWidth="1"/>
    <col min="26" max="26" width="9.28515625" style="4" customWidth="1"/>
    <col min="27" max="27" width="7.140625" style="112" customWidth="1"/>
    <col min="28" max="28" width="8.42578125" style="112" customWidth="1"/>
    <col min="29" max="30" width="7.140625" style="112" customWidth="1"/>
    <col min="31" max="31" width="6.85546875" style="112" customWidth="1"/>
    <col min="32" max="32" width="8.140625" style="112" customWidth="1"/>
    <col min="33" max="37" width="7.140625" style="112" customWidth="1"/>
    <col min="38" max="38" width="9.140625" style="112" customWidth="1"/>
    <col min="39" max="39" width="10.140625" style="112" customWidth="1"/>
    <col min="40" max="40" width="10.42578125" style="112" customWidth="1"/>
    <col min="41" max="41" width="7.140625" style="112" customWidth="1"/>
    <col min="42" max="42" width="7.140625" style="193" customWidth="1"/>
    <col min="43" max="43" width="7.28515625" style="112" customWidth="1"/>
    <col min="44" max="44" width="8.7109375" style="112" customWidth="1"/>
    <col min="45" max="45" width="6.5703125" style="4" customWidth="1"/>
    <col min="46" max="48" width="8.7109375" style="4" customWidth="1"/>
    <col min="49" max="49" width="9" style="4" customWidth="1"/>
    <col min="50" max="50" width="11.42578125" style="4"/>
    <col min="51" max="51" width="26.140625" style="3" customWidth="1"/>
    <col min="52" max="16384" width="11.42578125" style="3"/>
  </cols>
  <sheetData>
    <row r="1" spans="1:51" ht="13.5" thickBot="1" x14ac:dyDescent="0.3"/>
    <row r="2" spans="1:51" s="88" customFormat="1" ht="18.75" customHeight="1" thickBot="1" x14ac:dyDescent="0.3">
      <c r="B2" s="255"/>
      <c r="C2" s="256"/>
      <c r="D2" s="233" t="s">
        <v>0</v>
      </c>
      <c r="E2" s="234"/>
      <c r="F2" s="219"/>
      <c r="G2" s="204" t="s">
        <v>1</v>
      </c>
      <c r="H2" s="205"/>
      <c r="I2" s="206"/>
      <c r="J2" s="206"/>
      <c r="K2" s="206"/>
      <c r="L2" s="206"/>
      <c r="M2" s="206"/>
      <c r="N2" s="206"/>
      <c r="O2" s="206"/>
      <c r="P2" s="206"/>
      <c r="Q2" s="206"/>
      <c r="R2" s="206"/>
      <c r="S2" s="206"/>
      <c r="T2" s="237"/>
      <c r="U2" s="206"/>
      <c r="V2" s="206"/>
      <c r="W2" s="206"/>
      <c r="X2" s="206"/>
      <c r="Y2" s="237"/>
      <c r="Z2" s="237"/>
      <c r="AA2" s="237"/>
      <c r="AB2" s="237"/>
      <c r="AC2" s="237"/>
      <c r="AD2" s="237"/>
      <c r="AE2" s="237"/>
      <c r="AF2" s="237"/>
      <c r="AG2" s="237"/>
      <c r="AH2" s="237"/>
      <c r="AI2" s="237"/>
      <c r="AJ2" s="238"/>
      <c r="AK2" s="265" t="s">
        <v>538</v>
      </c>
      <c r="AL2" s="229"/>
      <c r="AM2" s="266"/>
      <c r="AN2" s="229"/>
      <c r="AO2" s="266"/>
      <c r="AP2" s="267"/>
      <c r="AQ2" s="266"/>
      <c r="AR2" s="268"/>
      <c r="AS2" s="265" t="s">
        <v>539</v>
      </c>
      <c r="AT2" s="229"/>
      <c r="AU2" s="229"/>
      <c r="AV2" s="229"/>
      <c r="AW2" s="229"/>
      <c r="AX2" s="229"/>
      <c r="AY2" s="268"/>
    </row>
    <row r="3" spans="1:51" s="88" customFormat="1" ht="18.75" customHeight="1" thickBot="1" x14ac:dyDescent="0.3">
      <c r="B3" s="257"/>
      <c r="C3" s="258"/>
      <c r="D3" s="261"/>
      <c r="E3" s="262"/>
      <c r="F3" s="222"/>
      <c r="G3" s="226"/>
      <c r="H3" s="227"/>
      <c r="I3" s="228"/>
      <c r="J3" s="228"/>
      <c r="K3" s="228"/>
      <c r="L3" s="228"/>
      <c r="M3" s="228"/>
      <c r="N3" s="228"/>
      <c r="O3" s="228"/>
      <c r="P3" s="228"/>
      <c r="Q3" s="228"/>
      <c r="R3" s="228"/>
      <c r="S3" s="228"/>
      <c r="T3" s="263"/>
      <c r="U3" s="228"/>
      <c r="V3" s="228"/>
      <c r="W3" s="228"/>
      <c r="X3" s="228"/>
      <c r="Y3" s="263"/>
      <c r="Z3" s="263"/>
      <c r="AA3" s="263"/>
      <c r="AB3" s="263"/>
      <c r="AC3" s="263"/>
      <c r="AD3" s="263"/>
      <c r="AE3" s="263"/>
      <c r="AF3" s="263"/>
      <c r="AG3" s="263"/>
      <c r="AH3" s="263"/>
      <c r="AI3" s="263"/>
      <c r="AJ3" s="264"/>
      <c r="AK3" s="265" t="s">
        <v>540</v>
      </c>
      <c r="AL3" s="229"/>
      <c r="AM3" s="266"/>
      <c r="AN3" s="229"/>
      <c r="AO3" s="266"/>
      <c r="AP3" s="267"/>
      <c r="AQ3" s="266"/>
      <c r="AR3" s="268"/>
      <c r="AS3" s="265">
        <v>1</v>
      </c>
      <c r="AT3" s="229"/>
      <c r="AU3" s="229"/>
      <c r="AV3" s="229"/>
      <c r="AW3" s="229"/>
      <c r="AX3" s="229"/>
      <c r="AY3" s="268"/>
    </row>
    <row r="4" spans="1:51" s="88" customFormat="1" ht="18.75" customHeight="1" thickBot="1" x14ac:dyDescent="0.3">
      <c r="B4" s="257"/>
      <c r="C4" s="258"/>
      <c r="D4" s="235"/>
      <c r="E4" s="236"/>
      <c r="F4" s="225"/>
      <c r="G4" s="207"/>
      <c r="H4" s="208"/>
      <c r="I4" s="209"/>
      <c r="J4" s="209"/>
      <c r="K4" s="209"/>
      <c r="L4" s="209"/>
      <c r="M4" s="209"/>
      <c r="N4" s="209"/>
      <c r="O4" s="209"/>
      <c r="P4" s="209"/>
      <c r="Q4" s="209"/>
      <c r="R4" s="209"/>
      <c r="S4" s="209"/>
      <c r="T4" s="239"/>
      <c r="U4" s="209"/>
      <c r="V4" s="209"/>
      <c r="W4" s="209"/>
      <c r="X4" s="209"/>
      <c r="Y4" s="239"/>
      <c r="Z4" s="239"/>
      <c r="AA4" s="239"/>
      <c r="AB4" s="239"/>
      <c r="AC4" s="239"/>
      <c r="AD4" s="239"/>
      <c r="AE4" s="239"/>
      <c r="AF4" s="239"/>
      <c r="AG4" s="239"/>
      <c r="AH4" s="239"/>
      <c r="AI4" s="239"/>
      <c r="AJ4" s="240"/>
      <c r="AK4" s="265" t="s">
        <v>541</v>
      </c>
      <c r="AL4" s="229"/>
      <c r="AM4" s="266"/>
      <c r="AN4" s="229"/>
      <c r="AO4" s="266"/>
      <c r="AP4" s="267"/>
      <c r="AQ4" s="266"/>
      <c r="AR4" s="268"/>
      <c r="AS4" s="269">
        <v>43896</v>
      </c>
      <c r="AT4" s="231"/>
      <c r="AU4" s="231"/>
      <c r="AV4" s="231"/>
      <c r="AW4" s="231"/>
      <c r="AX4" s="231"/>
      <c r="AY4" s="270"/>
    </row>
    <row r="5" spans="1:51" s="88" customFormat="1" ht="15" customHeight="1" x14ac:dyDescent="0.25">
      <c r="B5" s="257"/>
      <c r="C5" s="258"/>
      <c r="D5" s="233" t="s">
        <v>2</v>
      </c>
      <c r="E5" s="234"/>
      <c r="F5" s="219"/>
      <c r="G5" s="204" t="s">
        <v>3</v>
      </c>
      <c r="H5" s="205"/>
      <c r="I5" s="206"/>
      <c r="J5" s="206"/>
      <c r="K5" s="206"/>
      <c r="L5" s="206"/>
      <c r="M5" s="206"/>
      <c r="N5" s="206"/>
      <c r="O5" s="206"/>
      <c r="P5" s="206"/>
      <c r="Q5" s="206"/>
      <c r="R5" s="206"/>
      <c r="S5" s="206"/>
      <c r="T5" s="237"/>
      <c r="U5" s="206"/>
      <c r="V5" s="206"/>
      <c r="W5" s="206"/>
      <c r="X5" s="206"/>
      <c r="Y5" s="237"/>
      <c r="Z5" s="237"/>
      <c r="AA5" s="237"/>
      <c r="AB5" s="237"/>
      <c r="AC5" s="237"/>
      <c r="AD5" s="237"/>
      <c r="AE5" s="237"/>
      <c r="AF5" s="237"/>
      <c r="AG5" s="237"/>
      <c r="AH5" s="237"/>
      <c r="AI5" s="237"/>
      <c r="AJ5" s="238"/>
      <c r="AK5" s="241" t="s">
        <v>542</v>
      </c>
      <c r="AL5" s="242"/>
      <c r="AM5" s="243"/>
      <c r="AN5" s="242"/>
      <c r="AO5" s="243"/>
      <c r="AP5" s="244"/>
      <c r="AQ5" s="243"/>
      <c r="AR5" s="245"/>
      <c r="AS5" s="251" t="s">
        <v>543</v>
      </c>
      <c r="AT5" s="210"/>
      <c r="AU5" s="210"/>
      <c r="AV5" s="210"/>
      <c r="AW5" s="210"/>
      <c r="AX5" s="210"/>
      <c r="AY5" s="252"/>
    </row>
    <row r="6" spans="1:51" s="88" customFormat="1" ht="15.75" customHeight="1" thickBot="1" x14ac:dyDescent="0.3">
      <c r="B6" s="259"/>
      <c r="C6" s="260"/>
      <c r="D6" s="235"/>
      <c r="E6" s="236"/>
      <c r="F6" s="225"/>
      <c r="G6" s="207"/>
      <c r="H6" s="208"/>
      <c r="I6" s="209"/>
      <c r="J6" s="209"/>
      <c r="K6" s="209"/>
      <c r="L6" s="209"/>
      <c r="M6" s="209"/>
      <c r="N6" s="209"/>
      <c r="O6" s="209"/>
      <c r="P6" s="209"/>
      <c r="Q6" s="209"/>
      <c r="R6" s="209"/>
      <c r="S6" s="209"/>
      <c r="T6" s="239"/>
      <c r="U6" s="209"/>
      <c r="V6" s="209"/>
      <c r="W6" s="209"/>
      <c r="X6" s="209"/>
      <c r="Y6" s="239"/>
      <c r="Z6" s="239"/>
      <c r="AA6" s="239"/>
      <c r="AB6" s="239"/>
      <c r="AC6" s="239"/>
      <c r="AD6" s="239"/>
      <c r="AE6" s="239"/>
      <c r="AF6" s="239"/>
      <c r="AG6" s="239"/>
      <c r="AH6" s="239"/>
      <c r="AI6" s="239"/>
      <c r="AJ6" s="240"/>
      <c r="AK6" s="246"/>
      <c r="AL6" s="247"/>
      <c r="AM6" s="248"/>
      <c r="AN6" s="247"/>
      <c r="AO6" s="248"/>
      <c r="AP6" s="249"/>
      <c r="AQ6" s="248"/>
      <c r="AR6" s="250"/>
      <c r="AS6" s="253"/>
      <c r="AT6" s="212"/>
      <c r="AU6" s="212"/>
      <c r="AV6" s="212"/>
      <c r="AW6" s="212"/>
      <c r="AX6" s="212"/>
      <c r="AY6" s="254"/>
    </row>
    <row r="7" spans="1:51" ht="13.5" thickBot="1" x14ac:dyDescent="0.3"/>
    <row r="8" spans="1:51" s="4" customFormat="1" ht="42.75" customHeight="1" x14ac:dyDescent="0.25">
      <c r="B8" s="154" t="s">
        <v>544</v>
      </c>
      <c r="C8" s="154" t="s">
        <v>4</v>
      </c>
      <c r="D8" s="151" t="s">
        <v>5</v>
      </c>
      <c r="E8" s="151" t="s">
        <v>6</v>
      </c>
      <c r="F8" s="151" t="s">
        <v>7</v>
      </c>
      <c r="G8" s="151" t="s">
        <v>8</v>
      </c>
      <c r="H8" s="151" t="s">
        <v>9</v>
      </c>
      <c r="I8" s="151" t="s">
        <v>10</v>
      </c>
      <c r="J8" s="153" t="s">
        <v>11</v>
      </c>
      <c r="K8" s="151" t="s">
        <v>12</v>
      </c>
      <c r="L8" s="151" t="s">
        <v>545</v>
      </c>
      <c r="M8" s="151" t="s">
        <v>14</v>
      </c>
      <c r="N8" s="151" t="s">
        <v>15</v>
      </c>
      <c r="O8" s="151" t="s">
        <v>15</v>
      </c>
      <c r="P8" s="151" t="s">
        <v>15</v>
      </c>
      <c r="Q8" s="106" t="s">
        <v>15</v>
      </c>
      <c r="R8" s="151" t="s">
        <v>16</v>
      </c>
      <c r="S8" s="151" t="s">
        <v>17</v>
      </c>
      <c r="T8" s="151" t="s">
        <v>18</v>
      </c>
      <c r="U8" s="151" t="s">
        <v>546</v>
      </c>
      <c r="V8" s="151"/>
      <c r="W8" s="151" t="s">
        <v>547</v>
      </c>
      <c r="X8" s="151"/>
      <c r="Y8" s="151" t="s">
        <v>548</v>
      </c>
      <c r="Z8" s="151"/>
      <c r="AA8" s="151" t="s">
        <v>549</v>
      </c>
      <c r="AB8" s="151"/>
      <c r="AC8" s="151" t="s">
        <v>550</v>
      </c>
      <c r="AD8" s="151"/>
      <c r="AE8" s="151" t="s">
        <v>551</v>
      </c>
      <c r="AF8" s="151"/>
      <c r="AG8" s="151" t="s">
        <v>552</v>
      </c>
      <c r="AH8" s="151"/>
      <c r="AI8" s="151" t="s">
        <v>553</v>
      </c>
      <c r="AJ8" s="151"/>
      <c r="AK8" s="151" t="s">
        <v>554</v>
      </c>
      <c r="AL8" s="151"/>
      <c r="AM8" s="151" t="s">
        <v>555</v>
      </c>
      <c r="AN8" s="151"/>
      <c r="AO8" s="151" t="s">
        <v>556</v>
      </c>
      <c r="AP8" s="202"/>
      <c r="AQ8" s="151" t="s">
        <v>557</v>
      </c>
      <c r="AR8" s="151"/>
      <c r="AS8" s="151" t="s">
        <v>558</v>
      </c>
      <c r="AT8" s="151" t="s">
        <v>558</v>
      </c>
      <c r="AU8" s="151" t="s">
        <v>559</v>
      </c>
      <c r="AV8" s="151" t="s">
        <v>560</v>
      </c>
      <c r="AW8" s="151" t="s">
        <v>561</v>
      </c>
      <c r="AX8" s="151" t="s">
        <v>562</v>
      </c>
      <c r="AY8" s="156" t="s">
        <v>563</v>
      </c>
    </row>
    <row r="9" spans="1:51" s="105" customFormat="1" ht="90.75" customHeight="1" x14ac:dyDescent="0.25">
      <c r="B9" s="106" t="s">
        <v>564</v>
      </c>
      <c r="C9" s="65">
        <v>1</v>
      </c>
      <c r="D9" s="106" t="s">
        <v>21</v>
      </c>
      <c r="E9" s="106" t="s">
        <v>22</v>
      </c>
      <c r="F9" s="106" t="s">
        <v>23</v>
      </c>
      <c r="G9" s="106" t="s">
        <v>24</v>
      </c>
      <c r="H9" s="106" t="s">
        <v>25</v>
      </c>
      <c r="I9" s="1" t="s">
        <v>26</v>
      </c>
      <c r="J9" s="5" t="s">
        <v>27</v>
      </c>
      <c r="K9" s="5" t="s">
        <v>28</v>
      </c>
      <c r="L9" s="5" t="s">
        <v>29</v>
      </c>
      <c r="M9" s="5" t="s">
        <v>30</v>
      </c>
      <c r="N9" s="1" t="s">
        <v>31</v>
      </c>
      <c r="O9" s="1" t="s">
        <v>32</v>
      </c>
      <c r="P9" s="1"/>
      <c r="Q9" s="1"/>
      <c r="R9" s="5" t="s">
        <v>33</v>
      </c>
      <c r="S9" s="5" t="s">
        <v>34</v>
      </c>
      <c r="T9" s="74">
        <v>1</v>
      </c>
      <c r="U9" s="5">
        <v>588</v>
      </c>
      <c r="V9" s="5">
        <v>588</v>
      </c>
      <c r="W9" s="5">
        <v>675</v>
      </c>
      <c r="X9" s="5">
        <v>675</v>
      </c>
      <c r="Y9" s="5">
        <v>1045</v>
      </c>
      <c r="Z9" s="5">
        <v>1045</v>
      </c>
      <c r="AA9" s="5">
        <v>766</v>
      </c>
      <c r="AB9" s="5">
        <v>766</v>
      </c>
      <c r="AC9" s="5">
        <v>853</v>
      </c>
      <c r="AD9" s="5">
        <v>853</v>
      </c>
      <c r="AE9" s="5">
        <v>717</v>
      </c>
      <c r="AF9" s="5">
        <v>717</v>
      </c>
      <c r="AG9" s="5">
        <v>228</v>
      </c>
      <c r="AH9" s="5">
        <v>228</v>
      </c>
      <c r="AI9" s="5">
        <v>865</v>
      </c>
      <c r="AJ9" s="5">
        <v>877</v>
      </c>
      <c r="AK9" s="5">
        <f>572+81</f>
        <v>653</v>
      </c>
      <c r="AL9" s="5">
        <f>572+81</f>
        <v>653</v>
      </c>
      <c r="AM9" s="5">
        <f>550+81</f>
        <v>631</v>
      </c>
      <c r="AN9" s="5">
        <v>631</v>
      </c>
      <c r="AO9" s="5">
        <v>451</v>
      </c>
      <c r="AP9" s="181">
        <v>451</v>
      </c>
      <c r="AQ9" s="5">
        <f>516+93</f>
        <v>609</v>
      </c>
      <c r="AR9" s="5">
        <v>609</v>
      </c>
      <c r="AS9" s="83">
        <f t="shared" ref="AS9:AT14" si="0">U9+W9+Y9+AA9+AC9+AE9+AG9+AI9+AK9+AM9+AO9+AQ9</f>
        <v>8081</v>
      </c>
      <c r="AT9" s="83">
        <f t="shared" si="0"/>
        <v>8093</v>
      </c>
      <c r="AU9" s="162">
        <f t="shared" ref="AU9:AU14" si="1">AS9/AT9</f>
        <v>0.99851723711849749</v>
      </c>
      <c r="AV9" s="162">
        <f>(AM9+AO9+AQ9)/(AN9+AP9+AR9)</f>
        <v>1</v>
      </c>
      <c r="AW9" s="162">
        <f>AQ9/AR9</f>
        <v>1</v>
      </c>
      <c r="AX9" s="172" t="s">
        <v>533</v>
      </c>
      <c r="AY9" s="104" t="s">
        <v>565</v>
      </c>
    </row>
    <row r="10" spans="1:51" s="105" customFormat="1" ht="41.25" hidden="1" customHeight="1" x14ac:dyDescent="0.25">
      <c r="A10" s="4"/>
      <c r="B10" s="188" t="s">
        <v>566</v>
      </c>
      <c r="C10" s="65">
        <f>C9+1</f>
        <v>2</v>
      </c>
      <c r="D10" s="5" t="s">
        <v>277</v>
      </c>
      <c r="E10" s="5" t="s">
        <v>278</v>
      </c>
      <c r="F10" s="5" t="s">
        <v>279</v>
      </c>
      <c r="G10" s="5" t="s">
        <v>280</v>
      </c>
      <c r="H10" s="5" t="s">
        <v>281</v>
      </c>
      <c r="I10" s="5" t="s">
        <v>282</v>
      </c>
      <c r="J10" s="5" t="s">
        <v>27</v>
      </c>
      <c r="K10" s="5" t="s">
        <v>28</v>
      </c>
      <c r="L10" s="5" t="s">
        <v>29</v>
      </c>
      <c r="M10" s="5" t="s">
        <v>30</v>
      </c>
      <c r="N10" s="5" t="s">
        <v>283</v>
      </c>
      <c r="O10" s="5" t="s">
        <v>284</v>
      </c>
      <c r="P10" s="5"/>
      <c r="Q10" s="5"/>
      <c r="R10" s="5" t="s">
        <v>214</v>
      </c>
      <c r="S10" s="5" t="s">
        <v>86</v>
      </c>
      <c r="T10" s="174">
        <v>0.2</v>
      </c>
      <c r="U10" s="5">
        <v>69</v>
      </c>
      <c r="V10" s="5">
        <v>634</v>
      </c>
      <c r="W10" s="5">
        <v>170</v>
      </c>
      <c r="X10" s="5">
        <v>1645</v>
      </c>
      <c r="Y10" s="5">
        <v>163</v>
      </c>
      <c r="Z10" s="1">
        <v>1618</v>
      </c>
      <c r="AA10" s="5">
        <v>141</v>
      </c>
      <c r="AB10" s="1">
        <v>1492</v>
      </c>
      <c r="AC10" s="5">
        <v>568</v>
      </c>
      <c r="AD10" s="5">
        <v>5034</v>
      </c>
      <c r="AE10" s="5">
        <v>477</v>
      </c>
      <c r="AF10" s="5">
        <v>4807</v>
      </c>
      <c r="AG10" s="5">
        <v>184</v>
      </c>
      <c r="AH10" s="189">
        <v>3456</v>
      </c>
      <c r="AI10" s="186"/>
      <c r="AJ10" s="186"/>
      <c r="AK10" s="162"/>
      <c r="AL10" s="81"/>
      <c r="AM10" s="81"/>
      <c r="AN10" s="81"/>
      <c r="AO10" s="81"/>
      <c r="AP10" s="1"/>
      <c r="AQ10" s="5"/>
      <c r="AR10" s="5"/>
      <c r="AS10" s="83">
        <f t="shared" si="0"/>
        <v>1772</v>
      </c>
      <c r="AT10" s="83">
        <f t="shared" si="0"/>
        <v>18686</v>
      </c>
      <c r="AU10" s="81">
        <f t="shared" si="1"/>
        <v>9.4830354275928508E-2</v>
      </c>
      <c r="AV10" s="162">
        <f>(AG10+AI10+AK10)/(AH10+AJ10+AL10)</f>
        <v>5.3240740740740741E-2</v>
      </c>
      <c r="AW10" s="162">
        <v>5.3240740740740741E-2</v>
      </c>
      <c r="AX10" s="172" t="s">
        <v>533</v>
      </c>
      <c r="AY10" s="184" t="s">
        <v>567</v>
      </c>
    </row>
    <row r="11" spans="1:51" s="105" customFormat="1" ht="76.5" customHeight="1" x14ac:dyDescent="0.25">
      <c r="B11" s="106" t="s">
        <v>568</v>
      </c>
      <c r="C11" s="65">
        <f>C9+1</f>
        <v>2</v>
      </c>
      <c r="D11" s="106" t="s">
        <v>21</v>
      </c>
      <c r="E11" s="106" t="s">
        <v>22</v>
      </c>
      <c r="F11" s="106" t="s">
        <v>23</v>
      </c>
      <c r="G11" s="106" t="s">
        <v>37</v>
      </c>
      <c r="H11" s="106" t="s">
        <v>38</v>
      </c>
      <c r="I11" s="1" t="s">
        <v>26</v>
      </c>
      <c r="J11" s="5" t="s">
        <v>27</v>
      </c>
      <c r="K11" s="5" t="s">
        <v>28</v>
      </c>
      <c r="L11" s="5" t="s">
        <v>29</v>
      </c>
      <c r="M11" s="5" t="s">
        <v>30</v>
      </c>
      <c r="N11" s="1" t="s">
        <v>40</v>
      </c>
      <c r="O11" s="1" t="s">
        <v>41</v>
      </c>
      <c r="P11" s="105" t="s">
        <v>569</v>
      </c>
      <c r="Q11" s="1"/>
      <c r="R11" s="5" t="s">
        <v>570</v>
      </c>
      <c r="S11" s="5" t="s">
        <v>34</v>
      </c>
      <c r="T11" s="74">
        <v>1</v>
      </c>
      <c r="U11" s="5">
        <v>30308</v>
      </c>
      <c r="V11" s="5">
        <f>969*31</f>
        <v>30039</v>
      </c>
      <c r="W11" s="83">
        <v>27487.4</v>
      </c>
      <c r="X11" s="83">
        <f>988*28</f>
        <v>27664</v>
      </c>
      <c r="Y11" s="5">
        <v>31579</v>
      </c>
      <c r="Z11" s="5">
        <f>1003*31</f>
        <v>31093</v>
      </c>
      <c r="AA11" s="5">
        <v>31350</v>
      </c>
      <c r="AB11" s="5">
        <f>1043*30</f>
        <v>31290</v>
      </c>
      <c r="AC11" s="5">
        <v>32400</v>
      </c>
      <c r="AD11" s="5">
        <v>1039</v>
      </c>
      <c r="AE11" s="5">
        <v>30871</v>
      </c>
      <c r="AF11" s="5">
        <f>1000*30</f>
        <v>30000</v>
      </c>
      <c r="AG11" s="5">
        <v>31394</v>
      </c>
      <c r="AH11" s="5">
        <f>1042*31</f>
        <v>32302</v>
      </c>
      <c r="AI11" s="5">
        <v>32356</v>
      </c>
      <c r="AJ11" s="5">
        <f>1045*31</f>
        <v>32395</v>
      </c>
      <c r="AK11" s="5">
        <v>31319</v>
      </c>
      <c r="AL11" s="5">
        <f>1049*30</f>
        <v>31470</v>
      </c>
      <c r="AM11" s="5">
        <v>32374</v>
      </c>
      <c r="AN11" s="5">
        <f>(1037*31)</f>
        <v>32147</v>
      </c>
      <c r="AO11" s="5">
        <v>0</v>
      </c>
      <c r="AP11" s="181">
        <f>(1041*30)</f>
        <v>31230</v>
      </c>
      <c r="AQ11" s="5">
        <v>31967</v>
      </c>
      <c r="AR11" s="5">
        <f>(1032)*31</f>
        <v>31992</v>
      </c>
      <c r="AS11" s="83">
        <f t="shared" si="0"/>
        <v>343405.4</v>
      </c>
      <c r="AT11" s="83">
        <f t="shared" si="0"/>
        <v>342661</v>
      </c>
      <c r="AU11" s="81">
        <f t="shared" si="1"/>
        <v>1.0021724094659155</v>
      </c>
      <c r="AV11" s="161">
        <f>(AM11+AO11+AQ11)/(AN11+AP11+AR11)</f>
        <v>0.67465318919145634</v>
      </c>
      <c r="AW11" s="162">
        <f>AQ11/AR11</f>
        <v>0.99921855463865972</v>
      </c>
      <c r="AX11" s="81" t="s">
        <v>533</v>
      </c>
      <c r="AY11" s="104" t="s">
        <v>572</v>
      </c>
    </row>
    <row r="12" spans="1:51" s="105" customFormat="1" ht="76.5" customHeight="1" x14ac:dyDescent="0.25">
      <c r="B12" s="106" t="s">
        <v>571</v>
      </c>
      <c r="C12" s="65">
        <f t="shared" ref="C12:C56" si="2">C11+1</f>
        <v>3</v>
      </c>
      <c r="D12" s="106" t="s">
        <v>21</v>
      </c>
      <c r="E12" s="106" t="s">
        <v>22</v>
      </c>
      <c r="F12" s="106" t="s">
        <v>43</v>
      </c>
      <c r="G12" s="106" t="s">
        <v>44</v>
      </c>
      <c r="H12" s="106" t="s">
        <v>45</v>
      </c>
      <c r="I12" s="1" t="s">
        <v>26</v>
      </c>
      <c r="J12" s="5" t="s">
        <v>46</v>
      </c>
      <c r="K12" s="5" t="s">
        <v>28</v>
      </c>
      <c r="L12" s="5" t="s">
        <v>29</v>
      </c>
      <c r="M12" s="5" t="s">
        <v>30</v>
      </c>
      <c r="N12" s="149" t="s">
        <v>47</v>
      </c>
      <c r="O12" s="1" t="s">
        <v>48</v>
      </c>
      <c r="Q12" s="1"/>
      <c r="R12" s="5" t="s">
        <v>33</v>
      </c>
      <c r="S12" s="5" t="s">
        <v>34</v>
      </c>
      <c r="T12" s="74">
        <v>1</v>
      </c>
      <c r="U12" s="5">
        <v>16</v>
      </c>
      <c r="V12" s="5">
        <v>16</v>
      </c>
      <c r="W12" s="5">
        <v>15</v>
      </c>
      <c r="X12" s="5">
        <v>15</v>
      </c>
      <c r="Y12" s="5">
        <v>19</v>
      </c>
      <c r="Z12" s="5">
        <v>19</v>
      </c>
      <c r="AA12" s="5">
        <v>11</v>
      </c>
      <c r="AB12" s="5">
        <v>11</v>
      </c>
      <c r="AC12" s="5">
        <v>15</v>
      </c>
      <c r="AD12" s="5">
        <v>15</v>
      </c>
      <c r="AE12" s="5">
        <v>20</v>
      </c>
      <c r="AF12" s="5">
        <v>20</v>
      </c>
      <c r="AG12" s="5">
        <v>30</v>
      </c>
      <c r="AH12" s="5">
        <v>30</v>
      </c>
      <c r="AI12" s="5">
        <v>23</v>
      </c>
      <c r="AJ12" s="5">
        <v>23</v>
      </c>
      <c r="AK12" s="5">
        <v>26</v>
      </c>
      <c r="AL12" s="5">
        <v>26</v>
      </c>
      <c r="AM12" s="5">
        <v>17</v>
      </c>
      <c r="AN12" s="5">
        <v>17</v>
      </c>
      <c r="AO12" s="5">
        <f>54/2</f>
        <v>27</v>
      </c>
      <c r="AP12" s="181">
        <v>27</v>
      </c>
      <c r="AQ12" s="5">
        <f>46/2</f>
        <v>23</v>
      </c>
      <c r="AR12" s="5">
        <v>23</v>
      </c>
      <c r="AS12" s="83">
        <f t="shared" si="0"/>
        <v>242</v>
      </c>
      <c r="AT12" s="83">
        <f t="shared" si="0"/>
        <v>242</v>
      </c>
      <c r="AU12" s="81">
        <f t="shared" si="1"/>
        <v>1</v>
      </c>
      <c r="AV12" s="162">
        <f>(AM12+AO12+AQ12)/(AN12+AP12+AR12)</f>
        <v>1</v>
      </c>
      <c r="AW12" s="162">
        <f>AQ12/AR12</f>
        <v>1</v>
      </c>
      <c r="AX12" s="172" t="s">
        <v>533</v>
      </c>
      <c r="AY12" s="104" t="s">
        <v>572</v>
      </c>
    </row>
    <row r="13" spans="1:51" ht="76.5" customHeight="1" x14ac:dyDescent="0.25">
      <c r="A13" s="105"/>
      <c r="B13" s="106" t="s">
        <v>573</v>
      </c>
      <c r="C13" s="65">
        <f t="shared" si="2"/>
        <v>4</v>
      </c>
      <c r="D13" s="106" t="s">
        <v>21</v>
      </c>
      <c r="E13" s="106" t="s">
        <v>22</v>
      </c>
      <c r="F13" s="106" t="s">
        <v>50</v>
      </c>
      <c r="G13" s="106" t="s">
        <v>51</v>
      </c>
      <c r="H13" s="106" t="s">
        <v>52</v>
      </c>
      <c r="I13" s="1" t="s">
        <v>26</v>
      </c>
      <c r="J13" s="5" t="s">
        <v>53</v>
      </c>
      <c r="K13" s="5" t="s">
        <v>28</v>
      </c>
      <c r="L13" s="5" t="s">
        <v>29</v>
      </c>
      <c r="M13" s="5" t="s">
        <v>30</v>
      </c>
      <c r="N13" s="149" t="s">
        <v>54</v>
      </c>
      <c r="O13" s="106" t="s">
        <v>574</v>
      </c>
      <c r="P13" s="149"/>
      <c r="Q13" s="1"/>
      <c r="R13" s="5" t="s">
        <v>33</v>
      </c>
      <c r="S13" s="5" t="s">
        <v>34</v>
      </c>
      <c r="T13" s="74">
        <v>1</v>
      </c>
      <c r="U13" s="5">
        <v>961</v>
      </c>
      <c r="V13" s="5">
        <v>969</v>
      </c>
      <c r="W13" s="5">
        <v>988</v>
      </c>
      <c r="X13" s="5">
        <v>988</v>
      </c>
      <c r="Y13" s="5">
        <v>1003</v>
      </c>
      <c r="Z13" s="5">
        <v>1042</v>
      </c>
      <c r="AA13" s="5">
        <v>1003</v>
      </c>
      <c r="AB13" s="5">
        <v>1043</v>
      </c>
      <c r="AC13" s="5">
        <v>1024</v>
      </c>
      <c r="AD13" s="5">
        <v>1039</v>
      </c>
      <c r="AE13" s="5">
        <v>999</v>
      </c>
      <c r="AF13" s="5">
        <v>1000</v>
      </c>
      <c r="AG13" s="5">
        <v>1004</v>
      </c>
      <c r="AH13" s="5">
        <v>1042</v>
      </c>
      <c r="AI13" s="5">
        <v>1032</v>
      </c>
      <c r="AJ13" s="5">
        <v>1045</v>
      </c>
      <c r="AK13" s="5">
        <v>1026</v>
      </c>
      <c r="AL13" s="5">
        <v>1049</v>
      </c>
      <c r="AM13" s="5">
        <v>1029</v>
      </c>
      <c r="AN13" s="5">
        <v>1037</v>
      </c>
      <c r="AO13" s="5">
        <v>1030</v>
      </c>
      <c r="AP13" s="181">
        <v>1041</v>
      </c>
      <c r="AQ13" s="5">
        <v>1018</v>
      </c>
      <c r="AR13" s="5">
        <v>1032</v>
      </c>
      <c r="AS13" s="83">
        <f t="shared" si="0"/>
        <v>12117</v>
      </c>
      <c r="AT13" s="83">
        <f t="shared" si="0"/>
        <v>12327</v>
      </c>
      <c r="AU13" s="162">
        <f t="shared" si="1"/>
        <v>0.98296422487223167</v>
      </c>
      <c r="AV13" s="162">
        <f>(AM13+AO13+AQ13)/(AN13+AP13+AR13)</f>
        <v>0.98938906752411571</v>
      </c>
      <c r="AW13" s="162">
        <f>AQ13/AR13</f>
        <v>0.98643410852713176</v>
      </c>
      <c r="AX13" s="172" t="s">
        <v>533</v>
      </c>
      <c r="AY13" s="104" t="s">
        <v>1292</v>
      </c>
    </row>
    <row r="14" spans="1:51" s="4" customFormat="1" ht="104.25" customHeight="1" x14ac:dyDescent="0.25">
      <c r="A14" s="105"/>
      <c r="B14" s="106" t="s">
        <v>575</v>
      </c>
      <c r="C14" s="65">
        <f t="shared" si="2"/>
        <v>5</v>
      </c>
      <c r="D14" s="106" t="s">
        <v>21</v>
      </c>
      <c r="E14" s="106" t="s">
        <v>22</v>
      </c>
      <c r="F14" s="106" t="s">
        <v>23</v>
      </c>
      <c r="G14" s="106" t="s">
        <v>57</v>
      </c>
      <c r="H14" s="106" t="s">
        <v>58</v>
      </c>
      <c r="I14" s="1" t="s">
        <v>26</v>
      </c>
      <c r="J14" s="5" t="s">
        <v>27</v>
      </c>
      <c r="K14" s="5" t="s">
        <v>133</v>
      </c>
      <c r="L14" s="5" t="s">
        <v>29</v>
      </c>
      <c r="M14" s="5" t="s">
        <v>30</v>
      </c>
      <c r="N14" s="1" t="s">
        <v>59</v>
      </c>
      <c r="O14" s="1" t="s">
        <v>60</v>
      </c>
      <c r="P14" s="1"/>
      <c r="Q14" s="1"/>
      <c r="R14" s="5" t="s">
        <v>33</v>
      </c>
      <c r="S14" s="5" t="s">
        <v>34</v>
      </c>
      <c r="T14" s="74">
        <v>0.11</v>
      </c>
      <c r="U14" s="5">
        <v>3565</v>
      </c>
      <c r="V14" s="5">
        <v>30308</v>
      </c>
      <c r="W14" s="5">
        <v>3276</v>
      </c>
      <c r="X14" s="5">
        <v>27487</v>
      </c>
      <c r="Y14" s="1">
        <v>3698</v>
      </c>
      <c r="Z14" s="1">
        <v>31579</v>
      </c>
      <c r="AA14" s="83">
        <v>3870</v>
      </c>
      <c r="AB14" s="83">
        <v>31350</v>
      </c>
      <c r="AC14" s="5">
        <v>4433</v>
      </c>
      <c r="AD14" s="5">
        <v>32400</v>
      </c>
      <c r="AE14" s="5">
        <v>4110</v>
      </c>
      <c r="AF14" s="5">
        <v>30871</v>
      </c>
      <c r="AG14" s="5">
        <v>2790</v>
      </c>
      <c r="AH14" s="5">
        <v>31394</v>
      </c>
      <c r="AI14" s="5">
        <v>2666</v>
      </c>
      <c r="AJ14" s="5">
        <v>32356</v>
      </c>
      <c r="AK14" s="5">
        <v>2670</v>
      </c>
      <c r="AL14" s="5">
        <v>31319</v>
      </c>
      <c r="AM14" s="5">
        <f>(34+16+30+14+7)*31</f>
        <v>3131</v>
      </c>
      <c r="AN14" s="5">
        <v>32374</v>
      </c>
      <c r="AO14" s="5">
        <f>(21+15+17+31+14+7)*30</f>
        <v>3150</v>
      </c>
      <c r="AP14" s="83">
        <v>31518</v>
      </c>
      <c r="AQ14" s="5">
        <f>(27+15+28+9+6)*31</f>
        <v>2635</v>
      </c>
      <c r="AR14" s="5">
        <v>31967</v>
      </c>
      <c r="AS14" s="83">
        <f t="shared" si="0"/>
        <v>39994</v>
      </c>
      <c r="AT14" s="83">
        <f t="shared" si="0"/>
        <v>374923</v>
      </c>
      <c r="AU14" s="161">
        <f t="shared" si="1"/>
        <v>0.10667257010106075</v>
      </c>
      <c r="AV14" s="162">
        <f>(AM14+AO14+AQ14)/(AN14+AP14+AR14)</f>
        <v>9.301161080336745E-2</v>
      </c>
      <c r="AW14" s="162">
        <f>AQ14/AR14</f>
        <v>8.2428754653236153E-2</v>
      </c>
      <c r="AX14" s="173" t="s">
        <v>533</v>
      </c>
      <c r="AY14" s="104" t="s">
        <v>1292</v>
      </c>
    </row>
    <row r="15" spans="1:51" s="4" customFormat="1" ht="76.5" customHeight="1" x14ac:dyDescent="0.25">
      <c r="A15" s="105"/>
      <c r="B15" s="106" t="s">
        <v>576</v>
      </c>
      <c r="C15" s="65">
        <f t="shared" si="2"/>
        <v>6</v>
      </c>
      <c r="D15" s="1" t="s">
        <v>62</v>
      </c>
      <c r="E15" s="1" t="s">
        <v>63</v>
      </c>
      <c r="F15" s="1" t="s">
        <v>64</v>
      </c>
      <c r="G15" s="1" t="s">
        <v>577</v>
      </c>
      <c r="H15" s="1" t="s">
        <v>66</v>
      </c>
      <c r="I15" s="1" t="s">
        <v>67</v>
      </c>
      <c r="J15" s="1" t="s">
        <v>27</v>
      </c>
      <c r="K15" s="5" t="s">
        <v>28</v>
      </c>
      <c r="L15" s="1" t="s">
        <v>578</v>
      </c>
      <c r="M15" s="1" t="s">
        <v>69</v>
      </c>
      <c r="N15" s="1" t="s">
        <v>70</v>
      </c>
      <c r="O15" s="1"/>
      <c r="P15" s="1"/>
      <c r="Q15" s="1"/>
      <c r="R15" s="5" t="s">
        <v>579</v>
      </c>
      <c r="S15" s="5" t="s">
        <v>34</v>
      </c>
      <c r="T15" s="83">
        <v>25</v>
      </c>
      <c r="U15" s="1"/>
      <c r="V15" s="1"/>
      <c r="W15" s="1"/>
      <c r="X15" s="1"/>
      <c r="Y15" s="1"/>
      <c r="Z15" s="1">
        <v>25</v>
      </c>
      <c r="AA15" s="2"/>
      <c r="AB15" s="2"/>
      <c r="AC15" s="2"/>
      <c r="AD15" s="2"/>
      <c r="AE15" s="5"/>
      <c r="AF15" s="5">
        <v>25</v>
      </c>
      <c r="AG15" s="2"/>
      <c r="AH15" s="2"/>
      <c r="AI15" s="2"/>
      <c r="AJ15" s="2"/>
      <c r="AK15" s="2">
        <v>25</v>
      </c>
      <c r="AL15" s="2"/>
      <c r="AM15" s="2"/>
      <c r="AN15" s="2"/>
      <c r="AO15" s="2"/>
      <c r="AP15" s="2"/>
      <c r="AQ15" s="2"/>
      <c r="AR15" s="2">
        <v>25</v>
      </c>
      <c r="AS15" s="83">
        <f>U15+W15+Y15+AA15+AC15+AE15+AG15+AI15+AK15+AM15+AO15+AQ15</f>
        <v>25</v>
      </c>
      <c r="AT15" s="83">
        <f>Z15+AF15+AK15+AQ15</f>
        <v>75</v>
      </c>
      <c r="AU15" s="83">
        <v>75</v>
      </c>
      <c r="AV15" s="83">
        <f>AB15+AH15+AM15+AS15</f>
        <v>25</v>
      </c>
      <c r="AW15" s="19">
        <v>1</v>
      </c>
      <c r="AX15" s="172" t="s">
        <v>533</v>
      </c>
      <c r="AY15" s="104" t="s">
        <v>1292</v>
      </c>
    </row>
    <row r="16" spans="1:51" s="105" customFormat="1" ht="76.5" customHeight="1" x14ac:dyDescent="0.25">
      <c r="B16" s="106" t="s">
        <v>580</v>
      </c>
      <c r="C16" s="65">
        <f t="shared" si="2"/>
        <v>7</v>
      </c>
      <c r="D16" s="1" t="s">
        <v>62</v>
      </c>
      <c r="E16" s="1" t="s">
        <v>63</v>
      </c>
      <c r="F16" s="1" t="s">
        <v>74</v>
      </c>
      <c r="G16" s="1" t="s">
        <v>75</v>
      </c>
      <c r="H16" s="1" t="s">
        <v>76</v>
      </c>
      <c r="I16" s="1" t="s">
        <v>67</v>
      </c>
      <c r="J16" s="1" t="s">
        <v>27</v>
      </c>
      <c r="K16" s="5" t="s">
        <v>28</v>
      </c>
      <c r="L16" s="1" t="s">
        <v>578</v>
      </c>
      <c r="M16" s="1" t="s">
        <v>69</v>
      </c>
      <c r="N16" s="149" t="s">
        <v>77</v>
      </c>
      <c r="O16" s="1"/>
      <c r="P16" s="149"/>
      <c r="Q16" s="1"/>
      <c r="R16" s="5" t="s">
        <v>579</v>
      </c>
      <c r="S16" s="5" t="s">
        <v>34</v>
      </c>
      <c r="T16" s="83">
        <v>15</v>
      </c>
      <c r="U16" s="1"/>
      <c r="V16" s="1"/>
      <c r="W16" s="1"/>
      <c r="X16" s="1"/>
      <c r="Y16" s="1"/>
      <c r="Z16" s="1">
        <v>15</v>
      </c>
      <c r="AA16" s="2"/>
      <c r="AB16" s="2"/>
      <c r="AC16" s="2"/>
      <c r="AD16" s="2"/>
      <c r="AE16" s="5"/>
      <c r="AF16" s="5">
        <v>15</v>
      </c>
      <c r="AG16" s="2"/>
      <c r="AH16" s="2"/>
      <c r="AI16" s="2"/>
      <c r="AJ16" s="2"/>
      <c r="AK16" s="2">
        <v>15</v>
      </c>
      <c r="AL16" s="2"/>
      <c r="AM16" s="2"/>
      <c r="AN16" s="2"/>
      <c r="AO16" s="2"/>
      <c r="AP16" s="2"/>
      <c r="AQ16" s="2"/>
      <c r="AR16" s="2">
        <v>15</v>
      </c>
      <c r="AS16" s="83">
        <f>U16+W16+Y16+AA16+AC16+AE16+AG16+AI16+AK16+AM16+AO16+AQ16</f>
        <v>15</v>
      </c>
      <c r="AT16" s="83">
        <f>Z16+AF16+AK16+AQ16</f>
        <v>45</v>
      </c>
      <c r="AU16" s="83">
        <v>45</v>
      </c>
      <c r="AV16" s="83">
        <f>AB16+AH16+AM16+AS16</f>
        <v>15</v>
      </c>
      <c r="AW16" s="192">
        <v>15</v>
      </c>
      <c r="AX16" s="172" t="s">
        <v>533</v>
      </c>
      <c r="AY16" s="104" t="s">
        <v>1292</v>
      </c>
    </row>
    <row r="17" spans="1:51" ht="50.25" hidden="1" customHeight="1" x14ac:dyDescent="0.25">
      <c r="B17" s="106"/>
      <c r="C17" s="65">
        <f t="shared" si="2"/>
        <v>8</v>
      </c>
      <c r="D17" s="2" t="s">
        <v>62</v>
      </c>
      <c r="E17" s="6" t="s">
        <v>80</v>
      </c>
      <c r="F17" s="2" t="s">
        <v>81</v>
      </c>
      <c r="G17" s="6" t="s">
        <v>82</v>
      </c>
      <c r="H17" s="6" t="s">
        <v>83</v>
      </c>
      <c r="I17" s="1" t="s">
        <v>67</v>
      </c>
      <c r="J17" s="2" t="s">
        <v>27</v>
      </c>
      <c r="K17" s="2" t="s">
        <v>68</v>
      </c>
      <c r="L17" s="2" t="s">
        <v>29</v>
      </c>
      <c r="M17" s="2" t="s">
        <v>69</v>
      </c>
      <c r="N17" s="6" t="s">
        <v>84</v>
      </c>
      <c r="O17" s="6" t="s">
        <v>85</v>
      </c>
      <c r="P17" s="2"/>
      <c r="Q17" s="2"/>
      <c r="R17" s="5" t="s">
        <v>33</v>
      </c>
      <c r="S17" s="5" t="s">
        <v>86</v>
      </c>
      <c r="T17" s="74"/>
      <c r="U17" s="2"/>
      <c r="V17" s="2"/>
      <c r="W17" s="2"/>
      <c r="X17" s="2"/>
      <c r="Y17" s="2"/>
      <c r="Z17" s="2"/>
      <c r="AA17" s="2"/>
      <c r="AB17" s="2"/>
      <c r="AC17" s="2"/>
      <c r="AD17" s="2"/>
      <c r="AE17" s="2"/>
      <c r="AF17" s="2"/>
      <c r="AG17" s="2"/>
      <c r="AH17" s="2"/>
      <c r="AI17" s="2"/>
      <c r="AJ17" s="2"/>
      <c r="AK17" s="2"/>
      <c r="AL17" s="2"/>
      <c r="AM17" s="2"/>
      <c r="AN17" s="2"/>
      <c r="AO17" s="2"/>
      <c r="AP17" s="2"/>
      <c r="AQ17" s="2"/>
      <c r="AR17" s="2"/>
      <c r="AS17" s="22"/>
      <c r="AT17" s="22"/>
      <c r="AU17" s="22"/>
      <c r="AV17" s="22"/>
      <c r="AW17" s="22"/>
      <c r="AX17" s="81"/>
      <c r="AY17" s="60"/>
    </row>
    <row r="18" spans="1:51" s="109" customFormat="1" ht="93.75" customHeight="1" x14ac:dyDescent="0.25">
      <c r="A18" s="3"/>
      <c r="B18" s="106" t="s">
        <v>581</v>
      </c>
      <c r="C18" s="65">
        <f t="shared" si="2"/>
        <v>9</v>
      </c>
      <c r="D18" s="130" t="s">
        <v>62</v>
      </c>
      <c r="E18" s="131" t="s">
        <v>80</v>
      </c>
      <c r="F18" s="130" t="s">
        <v>93</v>
      </c>
      <c r="G18" s="130" t="s">
        <v>94</v>
      </c>
      <c r="H18" s="132" t="s">
        <v>95</v>
      </c>
      <c r="I18" s="131" t="s">
        <v>67</v>
      </c>
      <c r="J18" s="131" t="s">
        <v>46</v>
      </c>
      <c r="K18" s="5" t="s">
        <v>28</v>
      </c>
      <c r="L18" s="131" t="s">
        <v>29</v>
      </c>
      <c r="M18" s="131" t="s">
        <v>69</v>
      </c>
      <c r="N18" s="132" t="s">
        <v>96</v>
      </c>
      <c r="O18" s="132" t="s">
        <v>582</v>
      </c>
      <c r="P18" s="130"/>
      <c r="Q18" s="130"/>
      <c r="R18" s="131" t="s">
        <v>33</v>
      </c>
      <c r="S18" s="131" t="s">
        <v>34</v>
      </c>
      <c r="T18" s="133">
        <v>1</v>
      </c>
      <c r="U18" s="130"/>
      <c r="V18" s="130"/>
      <c r="W18" s="130"/>
      <c r="X18" s="130"/>
      <c r="Y18" s="131">
        <v>1847</v>
      </c>
      <c r="Z18" s="131">
        <v>1926</v>
      </c>
      <c r="AA18" s="130"/>
      <c r="AB18" s="130"/>
      <c r="AC18" s="131"/>
      <c r="AD18" s="131"/>
      <c r="AE18" s="5">
        <v>1322</v>
      </c>
      <c r="AF18" s="5">
        <v>1331</v>
      </c>
      <c r="AG18" s="5"/>
      <c r="AH18" s="2"/>
      <c r="AI18" s="2"/>
      <c r="AJ18" s="97"/>
      <c r="AK18" s="5">
        <v>10385</v>
      </c>
      <c r="AL18" s="5">
        <v>10421</v>
      </c>
      <c r="AM18" s="2"/>
      <c r="AN18" s="2"/>
      <c r="AO18" s="2"/>
      <c r="AP18" s="2"/>
      <c r="AQ18" s="5">
        <v>10458</v>
      </c>
      <c r="AR18" s="5">
        <f>10244+237</f>
        <v>10481</v>
      </c>
      <c r="AS18" s="83">
        <f t="shared" ref="AS18:AS50" si="3">U18+W18+Y18+AA18+AC18+AE18+AG18+AI18+AK18+AM18+AO18+AQ18</f>
        <v>24012</v>
      </c>
      <c r="AT18" s="83">
        <f t="shared" ref="AT18:AT50" si="4">V18+X18+Z18+AB18+AD18+AF18+AH18+AJ18+AL18+AN18+AP18+AR18</f>
        <v>24159</v>
      </c>
      <c r="AU18" s="81">
        <f>AS18/AT18</f>
        <v>0.99391531106419972</v>
      </c>
      <c r="AV18" s="162">
        <f>AQ18/AR18</f>
        <v>0.99780555290525719</v>
      </c>
      <c r="AW18" s="162">
        <f>AQ18/AR18</f>
        <v>0.99780555290525719</v>
      </c>
      <c r="AX18" s="172" t="s">
        <v>533</v>
      </c>
      <c r="AY18" s="104" t="s">
        <v>1292</v>
      </c>
    </row>
    <row r="19" spans="1:51" s="109" customFormat="1" ht="93.75" customHeight="1" x14ac:dyDescent="0.25">
      <c r="A19" s="4"/>
      <c r="B19" s="106" t="s">
        <v>583</v>
      </c>
      <c r="C19" s="65">
        <f t="shared" si="2"/>
        <v>10</v>
      </c>
      <c r="D19" s="5" t="s">
        <v>62</v>
      </c>
      <c r="E19" s="5" t="s">
        <v>80</v>
      </c>
      <c r="F19" s="5" t="s">
        <v>81</v>
      </c>
      <c r="G19" s="5" t="s">
        <v>99</v>
      </c>
      <c r="H19" s="5" t="s">
        <v>100</v>
      </c>
      <c r="I19" s="5" t="s">
        <v>67</v>
      </c>
      <c r="J19" s="5" t="s">
        <v>27</v>
      </c>
      <c r="K19" s="5" t="s">
        <v>28</v>
      </c>
      <c r="L19" s="5" t="s">
        <v>29</v>
      </c>
      <c r="M19" s="5" t="s">
        <v>69</v>
      </c>
      <c r="N19" s="5" t="s">
        <v>101</v>
      </c>
      <c r="O19" s="5" t="s">
        <v>102</v>
      </c>
      <c r="P19" s="5"/>
      <c r="Q19" s="5"/>
      <c r="R19" s="5" t="s">
        <v>33</v>
      </c>
      <c r="S19" s="5" t="s">
        <v>34</v>
      </c>
      <c r="T19" s="74">
        <v>1</v>
      </c>
      <c r="U19" s="5"/>
      <c r="V19" s="5"/>
      <c r="W19" s="5"/>
      <c r="X19" s="5"/>
      <c r="Y19" s="5">
        <v>59</v>
      </c>
      <c r="Z19" s="5">
        <v>271</v>
      </c>
      <c r="AA19" s="2"/>
      <c r="AB19" s="2"/>
      <c r="AC19" s="2"/>
      <c r="AD19" s="2"/>
      <c r="AE19" s="5">
        <f>77+Y19</f>
        <v>136</v>
      </c>
      <c r="AF19" s="5">
        <v>271</v>
      </c>
      <c r="AG19" s="5"/>
      <c r="AH19" s="5"/>
      <c r="AI19" s="5"/>
      <c r="AJ19" s="5"/>
      <c r="AK19" s="5">
        <f>AE19+116</f>
        <v>252</v>
      </c>
      <c r="AL19" s="5">
        <v>271</v>
      </c>
      <c r="AM19" s="2"/>
      <c r="AN19" s="2"/>
      <c r="AO19" s="2"/>
      <c r="AP19" s="2"/>
      <c r="AQ19" s="5">
        <f>AK19+19</f>
        <v>271</v>
      </c>
      <c r="AR19" s="5">
        <v>271</v>
      </c>
      <c r="AS19" s="83">
        <f t="shared" si="3"/>
        <v>718</v>
      </c>
      <c r="AT19" s="83">
        <f t="shared" si="4"/>
        <v>1084</v>
      </c>
      <c r="AU19" s="81">
        <f>AS19/AT19</f>
        <v>0.66236162361623618</v>
      </c>
      <c r="AV19" s="162">
        <f>AQ19/AR19</f>
        <v>1</v>
      </c>
      <c r="AW19" s="162">
        <f>AQ19/AR19</f>
        <v>1</v>
      </c>
      <c r="AX19" s="172" t="s">
        <v>533</v>
      </c>
      <c r="AY19" s="104" t="s">
        <v>1292</v>
      </c>
    </row>
    <row r="20" spans="1:51" s="118" customFormat="1" ht="93.75" customHeight="1" x14ac:dyDescent="0.25">
      <c r="A20" s="4"/>
      <c r="B20" s="106" t="s">
        <v>584</v>
      </c>
      <c r="C20" s="65">
        <f t="shared" si="2"/>
        <v>11</v>
      </c>
      <c r="D20" s="5" t="s">
        <v>62</v>
      </c>
      <c r="E20" s="5" t="s">
        <v>80</v>
      </c>
      <c r="F20" s="5" t="s">
        <v>64</v>
      </c>
      <c r="G20" s="5" t="s">
        <v>104</v>
      </c>
      <c r="H20" s="5" t="s">
        <v>105</v>
      </c>
      <c r="I20" s="5" t="s">
        <v>67</v>
      </c>
      <c r="J20" s="5" t="s">
        <v>27</v>
      </c>
      <c r="K20" s="5" t="s">
        <v>28</v>
      </c>
      <c r="L20" s="5" t="s">
        <v>29</v>
      </c>
      <c r="M20" s="5" t="s">
        <v>69</v>
      </c>
      <c r="N20" s="5" t="s">
        <v>106</v>
      </c>
      <c r="O20" s="5" t="s">
        <v>107</v>
      </c>
      <c r="P20" s="5"/>
      <c r="Q20" s="5"/>
      <c r="R20" s="5" t="s">
        <v>33</v>
      </c>
      <c r="S20" s="5" t="s">
        <v>34</v>
      </c>
      <c r="T20" s="74">
        <v>1</v>
      </c>
      <c r="U20" s="5"/>
      <c r="V20" s="5"/>
      <c r="W20" s="5"/>
      <c r="X20" s="5"/>
      <c r="Y20" s="5">
        <v>186</v>
      </c>
      <c r="Z20" s="5">
        <v>558</v>
      </c>
      <c r="AA20" s="2"/>
      <c r="AB20" s="2"/>
      <c r="AC20" s="2"/>
      <c r="AD20" s="2"/>
      <c r="AE20" s="1">
        <f>119+Y20</f>
        <v>305</v>
      </c>
      <c r="AF20" s="1">
        <v>558</v>
      </c>
      <c r="AG20" s="2"/>
      <c r="AH20" s="2"/>
      <c r="AI20" s="2"/>
      <c r="AJ20" s="2"/>
      <c r="AK20" s="5">
        <f>AE20+175</f>
        <v>480</v>
      </c>
      <c r="AL20" s="5">
        <v>558</v>
      </c>
      <c r="AM20" s="2"/>
      <c r="AN20" s="2"/>
      <c r="AO20" s="2"/>
      <c r="AP20" s="2"/>
      <c r="AQ20" s="5">
        <f>AK20+78</f>
        <v>558</v>
      </c>
      <c r="AR20" s="5">
        <v>558</v>
      </c>
      <c r="AS20" s="83">
        <f t="shared" si="3"/>
        <v>1529</v>
      </c>
      <c r="AT20" s="83">
        <f t="shared" si="4"/>
        <v>2232</v>
      </c>
      <c r="AU20" s="81">
        <f>AS20/AT20</f>
        <v>0.68503584229390679</v>
      </c>
      <c r="AV20" s="162">
        <f>AQ20/AR20</f>
        <v>1</v>
      </c>
      <c r="AW20" s="162">
        <f>AQ20/AR20</f>
        <v>1</v>
      </c>
      <c r="AX20" s="172" t="s">
        <v>533</v>
      </c>
      <c r="AY20" s="104" t="s">
        <v>1292</v>
      </c>
    </row>
    <row r="21" spans="1:51" s="105" customFormat="1" ht="93" customHeight="1" x14ac:dyDescent="0.25">
      <c r="B21" s="106" t="s">
        <v>585</v>
      </c>
      <c r="C21" s="65">
        <f t="shared" si="2"/>
        <v>12</v>
      </c>
      <c r="D21" s="5" t="s">
        <v>62</v>
      </c>
      <c r="E21" s="5" t="s">
        <v>80</v>
      </c>
      <c r="F21" s="5" t="s">
        <v>93</v>
      </c>
      <c r="G21" s="5" t="s">
        <v>109</v>
      </c>
      <c r="H21" s="5" t="s">
        <v>110</v>
      </c>
      <c r="I21" s="5" t="s">
        <v>67</v>
      </c>
      <c r="J21" s="5" t="s">
        <v>46</v>
      </c>
      <c r="K21" s="5" t="s">
        <v>28</v>
      </c>
      <c r="L21" s="5" t="s">
        <v>29</v>
      </c>
      <c r="M21" s="5" t="s">
        <v>69</v>
      </c>
      <c r="N21" s="5" t="s">
        <v>111</v>
      </c>
      <c r="O21" s="5" t="s">
        <v>112</v>
      </c>
      <c r="P21" s="5"/>
      <c r="Q21" s="5"/>
      <c r="R21" s="5" t="s">
        <v>33</v>
      </c>
      <c r="S21" s="5" t="s">
        <v>34</v>
      </c>
      <c r="T21" s="74">
        <v>0.9</v>
      </c>
      <c r="U21" s="1"/>
      <c r="V21" s="1"/>
      <c r="W21" s="1"/>
      <c r="X21" s="1"/>
      <c r="Y21" s="5">
        <v>83</v>
      </c>
      <c r="Z21" s="5">
        <v>83</v>
      </c>
      <c r="AA21" s="2"/>
      <c r="AB21" s="2"/>
      <c r="AC21" s="2"/>
      <c r="AD21" s="2"/>
      <c r="AE21" s="5">
        <v>153</v>
      </c>
      <c r="AF21" s="5">
        <v>153</v>
      </c>
      <c r="AG21" s="2"/>
      <c r="AH21" s="2"/>
      <c r="AI21" s="2"/>
      <c r="AJ21" s="2"/>
      <c r="AK21" s="2">
        <v>158</v>
      </c>
      <c r="AL21" s="2">
        <v>158</v>
      </c>
      <c r="AM21" s="2"/>
      <c r="AN21" s="2"/>
      <c r="AO21" s="2"/>
      <c r="AP21" s="2"/>
      <c r="AQ21" s="5">
        <v>115</v>
      </c>
      <c r="AR21" s="5">
        <v>115</v>
      </c>
      <c r="AS21" s="83">
        <f t="shared" si="3"/>
        <v>509</v>
      </c>
      <c r="AT21" s="83">
        <f t="shared" si="4"/>
        <v>509</v>
      </c>
      <c r="AU21" s="81">
        <f>AS21/AT21</f>
        <v>1</v>
      </c>
      <c r="AV21" s="162">
        <f>AQ21/AR21</f>
        <v>1</v>
      </c>
      <c r="AW21" s="162">
        <f>AQ21/AR21</f>
        <v>1</v>
      </c>
      <c r="AX21" s="172" t="s">
        <v>533</v>
      </c>
      <c r="AY21" s="104" t="s">
        <v>572</v>
      </c>
    </row>
    <row r="22" spans="1:51" s="105" customFormat="1" ht="99.75" customHeight="1" x14ac:dyDescent="0.25">
      <c r="A22" s="4"/>
      <c r="B22" s="106" t="s">
        <v>586</v>
      </c>
      <c r="C22" s="65">
        <f t="shared" si="2"/>
        <v>13</v>
      </c>
      <c r="D22" s="5" t="s">
        <v>62</v>
      </c>
      <c r="E22" s="5" t="s">
        <v>80</v>
      </c>
      <c r="F22" s="5" t="s">
        <v>74</v>
      </c>
      <c r="G22" s="5" t="s">
        <v>114</v>
      </c>
      <c r="H22" s="5" t="s">
        <v>115</v>
      </c>
      <c r="I22" s="5" t="s">
        <v>67</v>
      </c>
      <c r="J22" s="5" t="s">
        <v>46</v>
      </c>
      <c r="K22" s="5" t="s">
        <v>28</v>
      </c>
      <c r="L22" s="5" t="s">
        <v>29</v>
      </c>
      <c r="M22" s="5" t="s">
        <v>116</v>
      </c>
      <c r="N22" s="5" t="s">
        <v>117</v>
      </c>
      <c r="O22" s="5" t="s">
        <v>118</v>
      </c>
      <c r="P22" s="5"/>
      <c r="Q22" s="5"/>
      <c r="R22" s="5" t="s">
        <v>33</v>
      </c>
      <c r="S22" s="5" t="s">
        <v>34</v>
      </c>
      <c r="T22" s="74">
        <v>0.85</v>
      </c>
      <c r="U22" s="5"/>
      <c r="V22" s="5"/>
      <c r="W22" s="5"/>
      <c r="X22" s="5"/>
      <c r="Y22" s="5"/>
      <c r="Z22" s="5"/>
      <c r="AA22" s="130">
        <v>19388</v>
      </c>
      <c r="AB22" s="130">
        <v>213</v>
      </c>
      <c r="AC22" s="2"/>
      <c r="AD22" s="2"/>
      <c r="AE22" s="2"/>
      <c r="AF22" s="2"/>
      <c r="AG22" s="2"/>
      <c r="AH22" s="2"/>
      <c r="AI22" s="181">
        <v>8408</v>
      </c>
      <c r="AJ22" s="181">
        <v>91</v>
      </c>
      <c r="AK22" s="2"/>
      <c r="AL22" s="2"/>
      <c r="AM22" s="2"/>
      <c r="AN22" s="2"/>
      <c r="AO22" s="2"/>
      <c r="AP22" s="2"/>
      <c r="AQ22" s="5">
        <v>16346</v>
      </c>
      <c r="AR22" s="5">
        <v>176</v>
      </c>
      <c r="AS22" s="83">
        <f t="shared" si="3"/>
        <v>44142</v>
      </c>
      <c r="AT22" s="83">
        <f t="shared" si="4"/>
        <v>480</v>
      </c>
      <c r="AU22" s="171">
        <f>AS22/AT22</f>
        <v>91.962500000000006</v>
      </c>
      <c r="AV22" s="162">
        <v>0.92874999999999996</v>
      </c>
      <c r="AW22" s="162">
        <v>0.92874999999999996</v>
      </c>
      <c r="AX22" s="172" t="s">
        <v>533</v>
      </c>
      <c r="AY22" s="104" t="s">
        <v>1292</v>
      </c>
    </row>
    <row r="23" spans="1:51" s="105" customFormat="1" ht="93" customHeight="1" x14ac:dyDescent="0.25">
      <c r="A23" s="3"/>
      <c r="B23" s="106" t="s">
        <v>587</v>
      </c>
      <c r="C23" s="65">
        <f t="shared" si="2"/>
        <v>14</v>
      </c>
      <c r="D23" s="130" t="s">
        <v>62</v>
      </c>
      <c r="E23" s="131" t="s">
        <v>80</v>
      </c>
      <c r="F23" s="130" t="s">
        <v>93</v>
      </c>
      <c r="G23" s="130" t="s">
        <v>588</v>
      </c>
      <c r="H23" s="132" t="s">
        <v>589</v>
      </c>
      <c r="I23" s="131" t="s">
        <v>67</v>
      </c>
      <c r="J23" s="131" t="s">
        <v>590</v>
      </c>
      <c r="K23" s="5" t="s">
        <v>28</v>
      </c>
      <c r="L23" s="131" t="s">
        <v>578</v>
      </c>
      <c r="M23" s="131" t="s">
        <v>69</v>
      </c>
      <c r="N23" s="132" t="s">
        <v>591</v>
      </c>
      <c r="O23" s="132"/>
      <c r="P23" s="130"/>
      <c r="Q23" s="130"/>
      <c r="R23" s="131" t="s">
        <v>579</v>
      </c>
      <c r="S23" s="131" t="s">
        <v>34</v>
      </c>
      <c r="T23" s="83">
        <v>100</v>
      </c>
      <c r="U23" s="130"/>
      <c r="V23" s="130"/>
      <c r="W23" s="130"/>
      <c r="X23" s="130"/>
      <c r="Y23" s="130"/>
      <c r="Z23" s="130">
        <v>100</v>
      </c>
      <c r="AA23" s="130"/>
      <c r="AB23" s="199"/>
      <c r="AC23" s="131"/>
      <c r="AD23" s="131"/>
      <c r="AE23" s="5"/>
      <c r="AF23" s="5">
        <v>100</v>
      </c>
      <c r="AG23" s="5"/>
      <c r="AH23" s="2"/>
      <c r="AI23" s="2"/>
      <c r="AJ23" s="97"/>
      <c r="AK23" s="5">
        <v>100</v>
      </c>
      <c r="AL23" s="5"/>
      <c r="AM23" s="2"/>
      <c r="AN23" s="2"/>
      <c r="AO23" s="2"/>
      <c r="AP23" s="2"/>
      <c r="AQ23" s="5"/>
      <c r="AR23" s="5">
        <v>100</v>
      </c>
      <c r="AS23" s="83">
        <f t="shared" si="3"/>
        <v>100</v>
      </c>
      <c r="AT23" s="83">
        <f t="shared" si="4"/>
        <v>300</v>
      </c>
      <c r="AU23" s="171">
        <v>100</v>
      </c>
      <c r="AV23" s="81">
        <v>1</v>
      </c>
      <c r="AW23" s="81">
        <v>1</v>
      </c>
      <c r="AX23" s="172" t="s">
        <v>533</v>
      </c>
      <c r="AY23" s="104" t="s">
        <v>1292</v>
      </c>
    </row>
    <row r="24" spans="1:51" s="105" customFormat="1" ht="93" customHeight="1" x14ac:dyDescent="0.25">
      <c r="A24" s="109"/>
      <c r="B24" s="106" t="s">
        <v>592</v>
      </c>
      <c r="C24" s="65">
        <f t="shared" si="2"/>
        <v>15</v>
      </c>
      <c r="D24" s="107" t="s">
        <v>120</v>
      </c>
      <c r="E24" s="107" t="s">
        <v>121</v>
      </c>
      <c r="F24" s="107" t="s">
        <v>122</v>
      </c>
      <c r="G24" s="107" t="s">
        <v>123</v>
      </c>
      <c r="H24" s="107" t="s">
        <v>124</v>
      </c>
      <c r="I24" s="107" t="s">
        <v>125</v>
      </c>
      <c r="J24" s="83" t="s">
        <v>53</v>
      </c>
      <c r="K24" s="5" t="s">
        <v>28</v>
      </c>
      <c r="L24" s="83" t="s">
        <v>29</v>
      </c>
      <c r="M24" s="83" t="s">
        <v>126</v>
      </c>
      <c r="N24" s="107" t="s">
        <v>127</v>
      </c>
      <c r="O24" s="107" t="s">
        <v>128</v>
      </c>
      <c r="P24" s="107"/>
      <c r="Q24" s="107"/>
      <c r="R24" s="83" t="s">
        <v>33</v>
      </c>
      <c r="S24" s="83" t="s">
        <v>34</v>
      </c>
      <c r="T24" s="81">
        <v>1</v>
      </c>
      <c r="U24" s="83">
        <v>774</v>
      </c>
      <c r="V24" s="83">
        <v>782</v>
      </c>
      <c r="W24" s="83">
        <v>657</v>
      </c>
      <c r="X24" s="83">
        <v>673</v>
      </c>
      <c r="Y24" s="83">
        <v>887</v>
      </c>
      <c r="Z24" s="83">
        <v>904</v>
      </c>
      <c r="AA24" s="83">
        <v>830</v>
      </c>
      <c r="AB24" s="83">
        <v>840</v>
      </c>
      <c r="AC24" s="83">
        <v>991</v>
      </c>
      <c r="AD24" s="83">
        <v>999</v>
      </c>
      <c r="AE24" s="83">
        <v>1165</v>
      </c>
      <c r="AF24" s="164">
        <v>1212</v>
      </c>
      <c r="AG24" s="164">
        <v>771</v>
      </c>
      <c r="AH24" s="164">
        <v>888</v>
      </c>
      <c r="AI24" s="164">
        <v>1012</v>
      </c>
      <c r="AJ24" s="164">
        <v>1105</v>
      </c>
      <c r="AK24" s="164">
        <v>1124</v>
      </c>
      <c r="AL24" s="164">
        <v>1167</v>
      </c>
      <c r="AM24" s="83">
        <v>901</v>
      </c>
      <c r="AN24" s="83">
        <v>919</v>
      </c>
      <c r="AO24" s="83">
        <v>812</v>
      </c>
      <c r="AP24" s="83">
        <v>855</v>
      </c>
      <c r="AQ24" s="83">
        <v>782</v>
      </c>
      <c r="AR24" s="83">
        <v>817</v>
      </c>
      <c r="AS24" s="83">
        <f t="shared" si="3"/>
        <v>10706</v>
      </c>
      <c r="AT24" s="83">
        <f t="shared" si="4"/>
        <v>11161</v>
      </c>
      <c r="AU24" s="81">
        <f t="shared" ref="AU24:AU29" si="5">AS24/AT24</f>
        <v>0.95923304363408302</v>
      </c>
      <c r="AV24" s="162">
        <f>(AM24+AO24+AQ24)/(AN24+AP24+AR24)</f>
        <v>0.96294866846777305</v>
      </c>
      <c r="AW24" s="162">
        <f>AQ24/AR24</f>
        <v>0.95716034271725825</v>
      </c>
      <c r="AX24" s="172" t="s">
        <v>533</v>
      </c>
      <c r="AY24" s="104" t="s">
        <v>1292</v>
      </c>
    </row>
    <row r="25" spans="1:51" s="105" customFormat="1" ht="93" customHeight="1" x14ac:dyDescent="0.25">
      <c r="A25" s="118"/>
      <c r="B25" s="106" t="s">
        <v>593</v>
      </c>
      <c r="C25" s="65">
        <f t="shared" si="2"/>
        <v>16</v>
      </c>
      <c r="D25" s="107" t="s">
        <v>120</v>
      </c>
      <c r="E25" s="198" t="s">
        <v>121</v>
      </c>
      <c r="F25" s="83" t="s">
        <v>130</v>
      </c>
      <c r="G25" s="83" t="s">
        <v>131</v>
      </c>
      <c r="H25" s="83" t="s">
        <v>132</v>
      </c>
      <c r="I25" s="83" t="s">
        <v>125</v>
      </c>
      <c r="J25" s="83" t="s">
        <v>590</v>
      </c>
      <c r="K25" s="5" t="s">
        <v>28</v>
      </c>
      <c r="L25" s="83" t="s">
        <v>29</v>
      </c>
      <c r="M25" s="83" t="s">
        <v>30</v>
      </c>
      <c r="N25" s="83" t="s">
        <v>594</v>
      </c>
      <c r="O25" s="83" t="s">
        <v>595</v>
      </c>
      <c r="P25" s="83"/>
      <c r="Q25" s="106"/>
      <c r="R25" s="83" t="s">
        <v>33</v>
      </c>
      <c r="S25" s="83" t="s">
        <v>34</v>
      </c>
      <c r="T25" s="81">
        <v>1</v>
      </c>
      <c r="U25" s="83">
        <v>199</v>
      </c>
      <c r="V25" s="83">
        <v>937</v>
      </c>
      <c r="W25" s="83">
        <v>201</v>
      </c>
      <c r="X25" s="83">
        <v>1064</v>
      </c>
      <c r="Y25" s="181">
        <v>309</v>
      </c>
      <c r="Z25" s="83">
        <v>1234</v>
      </c>
      <c r="AA25" s="83">
        <v>263</v>
      </c>
      <c r="AB25" s="83">
        <v>1108</v>
      </c>
      <c r="AC25" s="83">
        <v>236</v>
      </c>
      <c r="AD25" s="83">
        <v>1156</v>
      </c>
      <c r="AE25" s="83">
        <v>304</v>
      </c>
      <c r="AF25" s="83">
        <v>1283</v>
      </c>
      <c r="AG25" s="164">
        <v>263</v>
      </c>
      <c r="AH25" s="164">
        <v>263</v>
      </c>
      <c r="AI25" s="164">
        <v>330</v>
      </c>
      <c r="AJ25" s="164">
        <v>329</v>
      </c>
      <c r="AK25" s="164">
        <v>312</v>
      </c>
      <c r="AL25" s="164">
        <v>311</v>
      </c>
      <c r="AM25" s="164">
        <v>260</v>
      </c>
      <c r="AN25" s="164">
        <v>260</v>
      </c>
      <c r="AO25" s="164">
        <v>195</v>
      </c>
      <c r="AP25" s="164">
        <v>195</v>
      </c>
      <c r="AQ25" s="164">
        <v>276</v>
      </c>
      <c r="AR25" s="164">
        <v>276</v>
      </c>
      <c r="AS25" s="83">
        <f t="shared" si="3"/>
        <v>3148</v>
      </c>
      <c r="AT25" s="83">
        <f t="shared" si="4"/>
        <v>8416</v>
      </c>
      <c r="AU25" s="81">
        <f t="shared" si="5"/>
        <v>0.3740494296577947</v>
      </c>
      <c r="AV25" s="162">
        <f>(AM25+AO25+AQ25)/(AN25+AP25+AR25)</f>
        <v>1</v>
      </c>
      <c r="AW25" s="162">
        <f>AQ25/AR25</f>
        <v>1</v>
      </c>
      <c r="AX25" s="172" t="s">
        <v>533</v>
      </c>
      <c r="AY25" s="104" t="s">
        <v>1292</v>
      </c>
    </row>
    <row r="26" spans="1:51" s="105" customFormat="1" ht="115.5" customHeight="1" x14ac:dyDescent="0.25">
      <c r="B26" s="106" t="s">
        <v>596</v>
      </c>
      <c r="C26" s="65">
        <f t="shared" si="2"/>
        <v>17</v>
      </c>
      <c r="D26" s="107" t="s">
        <v>120</v>
      </c>
      <c r="E26" s="198" t="s">
        <v>121</v>
      </c>
      <c r="F26" s="83" t="s">
        <v>130</v>
      </c>
      <c r="G26" s="83" t="s">
        <v>597</v>
      </c>
      <c r="H26" s="83" t="s">
        <v>598</v>
      </c>
      <c r="I26" s="83" t="s">
        <v>125</v>
      </c>
      <c r="J26" s="83" t="s">
        <v>599</v>
      </c>
      <c r="K26" s="5" t="s">
        <v>28</v>
      </c>
      <c r="L26" s="83" t="s">
        <v>29</v>
      </c>
      <c r="M26" s="83" t="s">
        <v>483</v>
      </c>
      <c r="N26" s="83" t="s">
        <v>600</v>
      </c>
      <c r="O26" s="83" t="s">
        <v>601</v>
      </c>
      <c r="P26" s="83"/>
      <c r="Q26" s="83"/>
      <c r="R26" s="83" t="s">
        <v>33</v>
      </c>
      <c r="S26" s="83" t="s">
        <v>34</v>
      </c>
      <c r="T26" s="81">
        <v>0.5</v>
      </c>
      <c r="U26" s="83"/>
      <c r="V26" s="83"/>
      <c r="W26" s="83">
        <v>116</v>
      </c>
      <c r="X26" s="83">
        <v>175</v>
      </c>
      <c r="Y26" s="83"/>
      <c r="Z26" s="83"/>
      <c r="AA26" s="83">
        <v>77</v>
      </c>
      <c r="AB26" s="83">
        <v>189</v>
      </c>
      <c r="AC26" s="83"/>
      <c r="AD26" s="83"/>
      <c r="AE26" s="83">
        <v>93</v>
      </c>
      <c r="AF26" s="83">
        <v>196</v>
      </c>
      <c r="AG26" s="131"/>
      <c r="AH26" s="131"/>
      <c r="AI26" s="131">
        <v>84</v>
      </c>
      <c r="AJ26" s="131">
        <f>90+95</f>
        <v>185</v>
      </c>
      <c r="AK26" s="131"/>
      <c r="AL26" s="131"/>
      <c r="AM26" s="131">
        <v>90</v>
      </c>
      <c r="AN26" s="131">
        <f>96+92</f>
        <v>188</v>
      </c>
      <c r="AO26" s="131"/>
      <c r="AP26" s="131"/>
      <c r="AQ26" s="131">
        <v>82</v>
      </c>
      <c r="AR26" s="131">
        <v>181</v>
      </c>
      <c r="AS26" s="83">
        <f t="shared" si="3"/>
        <v>542</v>
      </c>
      <c r="AT26" s="83">
        <f t="shared" si="4"/>
        <v>1114</v>
      </c>
      <c r="AU26" s="81">
        <f t="shared" si="5"/>
        <v>0.48653500897666069</v>
      </c>
      <c r="AV26" s="162">
        <f>AQ26/AR26</f>
        <v>0.45303867403314918</v>
      </c>
      <c r="AW26" s="162">
        <v>0.45303867403314918</v>
      </c>
      <c r="AX26" s="175" t="s">
        <v>533</v>
      </c>
      <c r="AY26" s="104" t="s">
        <v>1292</v>
      </c>
    </row>
    <row r="27" spans="1:51" s="105" customFormat="1" ht="115.5" customHeight="1" x14ac:dyDescent="0.25">
      <c r="B27" s="106" t="s">
        <v>602</v>
      </c>
      <c r="C27" s="65">
        <f t="shared" si="2"/>
        <v>18</v>
      </c>
      <c r="D27" s="107" t="s">
        <v>120</v>
      </c>
      <c r="E27" s="198" t="s">
        <v>121</v>
      </c>
      <c r="F27" s="83" t="s">
        <v>130</v>
      </c>
      <c r="G27" s="83" t="s">
        <v>603</v>
      </c>
      <c r="H27" s="83" t="s">
        <v>604</v>
      </c>
      <c r="I27" s="83" t="s">
        <v>125</v>
      </c>
      <c r="J27" s="83" t="s">
        <v>46</v>
      </c>
      <c r="K27" s="5" t="s">
        <v>28</v>
      </c>
      <c r="L27" s="83" t="s">
        <v>29</v>
      </c>
      <c r="M27" s="83" t="s">
        <v>483</v>
      </c>
      <c r="N27" s="83" t="s">
        <v>605</v>
      </c>
      <c r="O27" s="83" t="s">
        <v>606</v>
      </c>
      <c r="P27" s="83"/>
      <c r="Q27" s="83"/>
      <c r="R27" s="83" t="s">
        <v>33</v>
      </c>
      <c r="S27" s="83" t="s">
        <v>34</v>
      </c>
      <c r="T27" s="146">
        <v>0.3</v>
      </c>
      <c r="U27" s="83"/>
      <c r="V27" s="83"/>
      <c r="W27" s="83">
        <v>1562</v>
      </c>
      <c r="X27" s="83">
        <v>1595</v>
      </c>
      <c r="Y27" s="83"/>
      <c r="Z27" s="83"/>
      <c r="AA27" s="83">
        <v>739</v>
      </c>
      <c r="AB27" s="83">
        <v>1508</v>
      </c>
      <c r="AC27" s="83"/>
      <c r="AD27" s="83"/>
      <c r="AE27" s="83">
        <v>683</v>
      </c>
      <c r="AF27" s="83">
        <v>1378</v>
      </c>
      <c r="AG27" s="131"/>
      <c r="AH27" s="131"/>
      <c r="AI27" s="131">
        <v>5285</v>
      </c>
      <c r="AJ27" s="131">
        <v>5308</v>
      </c>
      <c r="AK27" s="131"/>
      <c r="AL27" s="131"/>
      <c r="AM27" s="131">
        <v>9544</v>
      </c>
      <c r="AN27" s="131">
        <v>9568</v>
      </c>
      <c r="AO27" s="131"/>
      <c r="AP27" s="131"/>
      <c r="AQ27" s="131">
        <v>6984</v>
      </c>
      <c r="AR27" s="131">
        <v>6998</v>
      </c>
      <c r="AS27" s="83">
        <f t="shared" si="3"/>
        <v>24797</v>
      </c>
      <c r="AT27" s="83">
        <f t="shared" si="4"/>
        <v>26355</v>
      </c>
      <c r="AU27" s="81">
        <f t="shared" si="5"/>
        <v>0.94088408271675206</v>
      </c>
      <c r="AV27" s="162">
        <f>AQ27/AR27</f>
        <v>0.99799942840811662</v>
      </c>
      <c r="AW27" s="161">
        <v>0.99799942840811662</v>
      </c>
      <c r="AX27" s="175" t="s">
        <v>533</v>
      </c>
      <c r="AY27" s="104" t="s">
        <v>1292</v>
      </c>
    </row>
    <row r="28" spans="1:51" s="105" customFormat="1" ht="84" customHeight="1" x14ac:dyDescent="0.25">
      <c r="B28" s="106" t="s">
        <v>607</v>
      </c>
      <c r="C28" s="65">
        <f t="shared" si="2"/>
        <v>19</v>
      </c>
      <c r="D28" s="1" t="s">
        <v>137</v>
      </c>
      <c r="E28" s="1" t="s">
        <v>138</v>
      </c>
      <c r="F28" s="1" t="s">
        <v>139</v>
      </c>
      <c r="G28" s="1" t="s">
        <v>147</v>
      </c>
      <c r="H28" s="1" t="s">
        <v>148</v>
      </c>
      <c r="I28" s="1" t="s">
        <v>142</v>
      </c>
      <c r="J28" s="1" t="s">
        <v>27</v>
      </c>
      <c r="K28" s="5" t="s">
        <v>28</v>
      </c>
      <c r="L28" s="1" t="s">
        <v>29</v>
      </c>
      <c r="M28" s="1" t="s">
        <v>69</v>
      </c>
      <c r="N28" s="1" t="s">
        <v>149</v>
      </c>
      <c r="O28" s="1" t="s">
        <v>150</v>
      </c>
      <c r="P28" s="1"/>
      <c r="Q28" s="1"/>
      <c r="R28" s="5" t="s">
        <v>33</v>
      </c>
      <c r="S28" s="5" t="s">
        <v>34</v>
      </c>
      <c r="T28" s="74">
        <v>1</v>
      </c>
      <c r="U28" s="1"/>
      <c r="V28" s="1"/>
      <c r="W28" s="1"/>
      <c r="X28" s="1"/>
      <c r="Y28" s="1">
        <v>31</v>
      </c>
      <c r="Z28" s="1">
        <v>31</v>
      </c>
      <c r="AA28" s="2"/>
      <c r="AB28" s="2"/>
      <c r="AC28" s="2"/>
      <c r="AD28" s="2"/>
      <c r="AE28" s="5">
        <v>34</v>
      </c>
      <c r="AF28" s="5">
        <v>34</v>
      </c>
      <c r="AG28" s="2"/>
      <c r="AH28" s="2"/>
      <c r="AI28" s="2"/>
      <c r="AJ28" s="2"/>
      <c r="AK28" s="2">
        <v>47</v>
      </c>
      <c r="AL28" s="2">
        <v>47</v>
      </c>
      <c r="AM28" s="2"/>
      <c r="AN28" s="2"/>
      <c r="AO28" s="2"/>
      <c r="AP28" s="2"/>
      <c r="AQ28" s="5">
        <v>27</v>
      </c>
      <c r="AR28" s="5">
        <v>27</v>
      </c>
      <c r="AS28" s="83">
        <f t="shared" si="3"/>
        <v>139</v>
      </c>
      <c r="AT28" s="83">
        <f t="shared" si="4"/>
        <v>139</v>
      </c>
      <c r="AU28" s="81">
        <f t="shared" si="5"/>
        <v>1</v>
      </c>
      <c r="AV28" s="162">
        <f>(AG28+AI28+AK28)/(AH28+AJ28+AL28)</f>
        <v>1</v>
      </c>
      <c r="AW28" s="81">
        <f>AV28</f>
        <v>1</v>
      </c>
      <c r="AX28" s="172" t="s">
        <v>533</v>
      </c>
      <c r="AY28" s="104" t="s">
        <v>608</v>
      </c>
    </row>
    <row r="29" spans="1:51" s="105" customFormat="1" ht="84" customHeight="1" x14ac:dyDescent="0.25">
      <c r="B29" s="106" t="s">
        <v>609</v>
      </c>
      <c r="C29" s="65">
        <f t="shared" si="2"/>
        <v>20</v>
      </c>
      <c r="D29" s="1" t="s">
        <v>137</v>
      </c>
      <c r="E29" s="1" t="s">
        <v>138</v>
      </c>
      <c r="F29" s="1" t="s">
        <v>139</v>
      </c>
      <c r="G29" s="1" t="s">
        <v>140</v>
      </c>
      <c r="H29" s="1" t="s">
        <v>141</v>
      </c>
      <c r="I29" s="1" t="s">
        <v>142</v>
      </c>
      <c r="J29" s="1" t="s">
        <v>27</v>
      </c>
      <c r="K29" s="5" t="s">
        <v>28</v>
      </c>
      <c r="L29" s="1" t="s">
        <v>29</v>
      </c>
      <c r="M29" s="1" t="s">
        <v>143</v>
      </c>
      <c r="N29" s="1" t="s">
        <v>144</v>
      </c>
      <c r="O29" s="1" t="s">
        <v>145</v>
      </c>
      <c r="P29" s="1"/>
      <c r="Q29" s="1"/>
      <c r="R29" s="5" t="s">
        <v>33</v>
      </c>
      <c r="S29" s="5" t="s">
        <v>34</v>
      </c>
      <c r="T29" s="74">
        <v>0.65</v>
      </c>
      <c r="U29" s="1"/>
      <c r="V29" s="1"/>
      <c r="W29" s="1"/>
      <c r="X29" s="1"/>
      <c r="Y29" s="1"/>
      <c r="Z29" s="1"/>
      <c r="AA29" s="2"/>
      <c r="AB29" s="2"/>
      <c r="AC29" s="2"/>
      <c r="AD29" s="2"/>
      <c r="AE29" s="5">
        <v>135</v>
      </c>
      <c r="AF29" s="5">
        <v>106</v>
      </c>
      <c r="AG29" s="2"/>
      <c r="AH29" s="2"/>
      <c r="AI29" s="2"/>
      <c r="AJ29" s="2"/>
      <c r="AK29" s="2"/>
      <c r="AL29" s="2"/>
      <c r="AM29" s="2"/>
      <c r="AN29" s="2"/>
      <c r="AO29" s="2"/>
      <c r="AP29" s="165"/>
      <c r="AQ29" s="165">
        <v>166</v>
      </c>
      <c r="AR29" s="165">
        <v>127</v>
      </c>
      <c r="AS29" s="83">
        <f t="shared" si="3"/>
        <v>301</v>
      </c>
      <c r="AT29" s="83">
        <f t="shared" si="4"/>
        <v>233</v>
      </c>
      <c r="AU29" s="81">
        <f t="shared" si="5"/>
        <v>1.2918454935622317</v>
      </c>
      <c r="AV29" s="162">
        <f>AQ29/AR29</f>
        <v>1.3070866141732282</v>
      </c>
      <c r="AW29" s="161">
        <f>AV29</f>
        <v>1.3070866141732282</v>
      </c>
      <c r="AX29" s="162" t="s">
        <v>533</v>
      </c>
      <c r="AY29" s="104" t="s">
        <v>610</v>
      </c>
    </row>
    <row r="30" spans="1:51" s="105" customFormat="1" ht="84" customHeight="1" x14ac:dyDescent="0.25">
      <c r="B30" s="106" t="s">
        <v>611</v>
      </c>
      <c r="C30" s="65">
        <f t="shared" si="2"/>
        <v>21</v>
      </c>
      <c r="D30" s="1" t="s">
        <v>152</v>
      </c>
      <c r="E30" s="1" t="s">
        <v>153</v>
      </c>
      <c r="F30" s="1" t="s">
        <v>154</v>
      </c>
      <c r="G30" s="1" t="s">
        <v>155</v>
      </c>
      <c r="H30" s="1" t="s">
        <v>156</v>
      </c>
      <c r="I30" s="1" t="s">
        <v>26</v>
      </c>
      <c r="J30" s="1" t="s">
        <v>27</v>
      </c>
      <c r="K30" s="1" t="s">
        <v>133</v>
      </c>
      <c r="L30" s="1" t="s">
        <v>29</v>
      </c>
      <c r="M30" s="1" t="s">
        <v>30</v>
      </c>
      <c r="N30" s="1" t="s">
        <v>157</v>
      </c>
      <c r="O30" s="1" t="s">
        <v>158</v>
      </c>
      <c r="P30" s="1"/>
      <c r="Q30" s="1"/>
      <c r="R30" s="5" t="s">
        <v>159</v>
      </c>
      <c r="S30" s="5" t="s">
        <v>34</v>
      </c>
      <c r="T30" s="74" t="s">
        <v>160</v>
      </c>
      <c r="U30" s="200">
        <v>2</v>
      </c>
      <c r="V30" s="200">
        <v>2</v>
      </c>
      <c r="W30" s="1">
        <v>0</v>
      </c>
      <c r="X30" s="1">
        <v>2</v>
      </c>
      <c r="Y30" s="1">
        <v>1</v>
      </c>
      <c r="Z30" s="1">
        <v>2</v>
      </c>
      <c r="AA30" s="1">
        <v>1</v>
      </c>
      <c r="AB30" s="1">
        <v>1</v>
      </c>
      <c r="AC30" s="5">
        <v>3</v>
      </c>
      <c r="AD30" s="5">
        <v>1</v>
      </c>
      <c r="AE30" s="5">
        <v>3</v>
      </c>
      <c r="AF30" s="5">
        <v>3</v>
      </c>
      <c r="AG30" s="5">
        <v>1</v>
      </c>
      <c r="AH30" s="5">
        <v>3</v>
      </c>
      <c r="AI30" s="5">
        <v>0</v>
      </c>
      <c r="AJ30" s="5">
        <v>1</v>
      </c>
      <c r="AK30" s="5">
        <v>0</v>
      </c>
      <c r="AL30" s="5">
        <v>0</v>
      </c>
      <c r="AM30" s="5">
        <v>0</v>
      </c>
      <c r="AN30" s="5">
        <v>0</v>
      </c>
      <c r="AO30" s="5">
        <v>1</v>
      </c>
      <c r="AP30" s="5">
        <v>0</v>
      </c>
      <c r="AQ30" s="2">
        <v>1</v>
      </c>
      <c r="AR30" s="2">
        <v>1</v>
      </c>
      <c r="AS30" s="83">
        <f t="shared" si="3"/>
        <v>13</v>
      </c>
      <c r="AT30" s="83">
        <f t="shared" si="4"/>
        <v>16</v>
      </c>
      <c r="AU30" s="81">
        <f>(AS30/AT30)-1</f>
        <v>-0.1875</v>
      </c>
      <c r="AV30" s="162">
        <f>(AQ30/AR30)-1</f>
        <v>0</v>
      </c>
      <c r="AW30" s="81">
        <f>(AQ30/AR30)-1</f>
        <v>0</v>
      </c>
      <c r="AX30" s="172" t="s">
        <v>533</v>
      </c>
      <c r="AY30" s="104" t="s">
        <v>613</v>
      </c>
    </row>
    <row r="31" spans="1:51" s="105" customFormat="1" ht="100.5" customHeight="1" x14ac:dyDescent="0.25">
      <c r="B31" s="106" t="s">
        <v>612</v>
      </c>
      <c r="C31" s="65">
        <f t="shared" si="2"/>
        <v>22</v>
      </c>
      <c r="D31" s="1" t="s">
        <v>152</v>
      </c>
      <c r="E31" s="1" t="s">
        <v>162</v>
      </c>
      <c r="F31" s="1" t="s">
        <v>154</v>
      </c>
      <c r="G31" s="1" t="s">
        <v>163</v>
      </c>
      <c r="H31" s="1" t="s">
        <v>164</v>
      </c>
      <c r="I31" s="1" t="s">
        <v>26</v>
      </c>
      <c r="J31" s="1" t="s">
        <v>27</v>
      </c>
      <c r="K31" s="5" t="s">
        <v>28</v>
      </c>
      <c r="L31" s="1" t="s">
        <v>29</v>
      </c>
      <c r="M31" s="1" t="s">
        <v>30</v>
      </c>
      <c r="N31" s="1" t="s">
        <v>165</v>
      </c>
      <c r="O31" s="1" t="s">
        <v>166</v>
      </c>
      <c r="P31" s="1"/>
      <c r="Q31" s="1"/>
      <c r="R31" s="5" t="s">
        <v>33</v>
      </c>
      <c r="S31" s="5" t="s">
        <v>34</v>
      </c>
      <c r="T31" s="117">
        <v>1</v>
      </c>
      <c r="U31" s="1">
        <v>26</v>
      </c>
      <c r="V31" s="1">
        <v>26</v>
      </c>
      <c r="W31" s="1">
        <v>8</v>
      </c>
      <c r="X31" s="1">
        <v>8</v>
      </c>
      <c r="Y31" s="1">
        <v>4</v>
      </c>
      <c r="Z31" s="1">
        <v>4</v>
      </c>
      <c r="AA31" s="1">
        <v>8</v>
      </c>
      <c r="AB31" s="1">
        <v>8</v>
      </c>
      <c r="AC31" s="5">
        <v>7</v>
      </c>
      <c r="AD31" s="5">
        <v>7</v>
      </c>
      <c r="AE31" s="5">
        <v>5</v>
      </c>
      <c r="AF31" s="5">
        <v>5</v>
      </c>
      <c r="AG31" s="5">
        <v>6</v>
      </c>
      <c r="AH31" s="5">
        <v>6</v>
      </c>
      <c r="AI31" s="5">
        <v>12</v>
      </c>
      <c r="AJ31" s="5">
        <v>12</v>
      </c>
      <c r="AK31" s="5">
        <v>6</v>
      </c>
      <c r="AL31" s="5">
        <v>6</v>
      </c>
      <c r="AM31" s="5">
        <v>6</v>
      </c>
      <c r="AN31" s="5">
        <v>6</v>
      </c>
      <c r="AO31" s="5">
        <v>5</v>
      </c>
      <c r="AP31" s="5">
        <v>5</v>
      </c>
      <c r="AQ31" s="2">
        <v>4</v>
      </c>
      <c r="AR31" s="2">
        <v>4</v>
      </c>
      <c r="AS31" s="83">
        <f t="shared" si="3"/>
        <v>97</v>
      </c>
      <c r="AT31" s="83">
        <f t="shared" si="4"/>
        <v>97</v>
      </c>
      <c r="AU31" s="81">
        <f t="shared" ref="AU31:AU37" si="6">AS31/AT31</f>
        <v>1</v>
      </c>
      <c r="AV31" s="162">
        <f>((AM31+AO31+AQ31)/(AN31+AP31+AR31))</f>
        <v>1</v>
      </c>
      <c r="AW31" s="81">
        <f>AQ31/AR31</f>
        <v>1</v>
      </c>
      <c r="AX31" s="172" t="s">
        <v>533</v>
      </c>
      <c r="AY31" s="104" t="s">
        <v>613</v>
      </c>
    </row>
    <row r="32" spans="1:51" s="105" customFormat="1" ht="100.5" customHeight="1" x14ac:dyDescent="0.25">
      <c r="B32" s="106" t="s">
        <v>614</v>
      </c>
      <c r="C32" s="65">
        <f t="shared" si="2"/>
        <v>23</v>
      </c>
      <c r="D32" s="1" t="s">
        <v>168</v>
      </c>
      <c r="E32" s="1" t="s">
        <v>169</v>
      </c>
      <c r="F32" s="1" t="s">
        <v>177</v>
      </c>
      <c r="G32" s="1" t="s">
        <v>178</v>
      </c>
      <c r="H32" s="1" t="s">
        <v>179</v>
      </c>
      <c r="I32" s="1" t="s">
        <v>180</v>
      </c>
      <c r="J32" s="1" t="s">
        <v>46</v>
      </c>
      <c r="K32" s="5" t="s">
        <v>28</v>
      </c>
      <c r="L32" s="1" t="s">
        <v>29</v>
      </c>
      <c r="M32" s="1" t="s">
        <v>69</v>
      </c>
      <c r="N32" s="1" t="s">
        <v>615</v>
      </c>
      <c r="O32" s="1" t="s">
        <v>616</v>
      </c>
      <c r="P32" s="1"/>
      <c r="Q32" s="1"/>
      <c r="R32" s="5" t="s">
        <v>33</v>
      </c>
      <c r="S32" s="5" t="s">
        <v>34</v>
      </c>
      <c r="T32" s="74">
        <v>0.85</v>
      </c>
      <c r="U32" s="1"/>
      <c r="V32" s="1"/>
      <c r="W32" s="1"/>
      <c r="X32" s="1"/>
      <c r="Y32" s="1">
        <v>66</v>
      </c>
      <c r="Z32" s="1">
        <f>66+9</f>
        <v>75</v>
      </c>
      <c r="AA32" s="1"/>
      <c r="AB32" s="1"/>
      <c r="AC32" s="1"/>
      <c r="AD32" s="1"/>
      <c r="AE32" s="1">
        <v>25</v>
      </c>
      <c r="AF32" s="1">
        <v>31</v>
      </c>
      <c r="AG32" s="1"/>
      <c r="AH32" s="1"/>
      <c r="AI32" s="2"/>
      <c r="AJ32" s="2"/>
      <c r="AK32" s="5">
        <f>27+20</f>
        <v>47</v>
      </c>
      <c r="AL32" s="5">
        <f>27+36</f>
        <v>63</v>
      </c>
      <c r="AM32" s="2"/>
      <c r="AN32" s="2"/>
      <c r="AO32" s="2"/>
      <c r="AP32" s="2"/>
      <c r="AQ32" s="2">
        <v>64</v>
      </c>
      <c r="AR32" s="2">
        <v>72</v>
      </c>
      <c r="AS32" s="83">
        <f t="shared" si="3"/>
        <v>202</v>
      </c>
      <c r="AT32" s="83">
        <f t="shared" si="4"/>
        <v>241</v>
      </c>
      <c r="AU32" s="161">
        <f t="shared" si="6"/>
        <v>0.83817427385892118</v>
      </c>
      <c r="AV32" s="162">
        <f>(AM32+AO32+AQ32)/(AN32+AP32+AR32)</f>
        <v>0.88888888888888884</v>
      </c>
      <c r="AW32" s="162">
        <v>0.88888888888888884</v>
      </c>
      <c r="AX32" s="81" t="s">
        <v>533</v>
      </c>
      <c r="AY32" s="104" t="s">
        <v>617</v>
      </c>
    </row>
    <row r="33" spans="1:51" s="105" customFormat="1" ht="113.25" customHeight="1" x14ac:dyDescent="0.25">
      <c r="B33" s="106" t="s">
        <v>618</v>
      </c>
      <c r="C33" s="65">
        <f t="shared" si="2"/>
        <v>24</v>
      </c>
      <c r="D33" s="1" t="s">
        <v>168</v>
      </c>
      <c r="E33" s="1" t="s">
        <v>169</v>
      </c>
      <c r="F33" s="1" t="s">
        <v>170</v>
      </c>
      <c r="G33" s="1" t="s">
        <v>171</v>
      </c>
      <c r="H33" s="1" t="s">
        <v>172</v>
      </c>
      <c r="I33" s="1" t="s">
        <v>173</v>
      </c>
      <c r="J33" s="1" t="s">
        <v>27</v>
      </c>
      <c r="K33" s="5" t="s">
        <v>28</v>
      </c>
      <c r="L33" s="1" t="s">
        <v>29</v>
      </c>
      <c r="M33" s="1" t="s">
        <v>69</v>
      </c>
      <c r="N33" s="1" t="s">
        <v>174</v>
      </c>
      <c r="O33" s="1" t="s">
        <v>175</v>
      </c>
      <c r="P33" s="1"/>
      <c r="Q33" s="106"/>
      <c r="R33" s="5" t="s">
        <v>33</v>
      </c>
      <c r="S33" s="5" t="s">
        <v>34</v>
      </c>
      <c r="T33" s="74">
        <v>1</v>
      </c>
      <c r="U33" s="1"/>
      <c r="V33" s="1"/>
      <c r="W33" s="1"/>
      <c r="X33" s="1"/>
      <c r="Y33" s="201">
        <v>0.2</v>
      </c>
      <c r="Z33" s="117">
        <v>0.2</v>
      </c>
      <c r="AA33" s="2"/>
      <c r="AB33" s="2"/>
      <c r="AC33" s="2"/>
      <c r="AD33" s="2"/>
      <c r="AE33" s="97">
        <v>0.24</v>
      </c>
      <c r="AF33" s="97">
        <v>0.24</v>
      </c>
      <c r="AG33" s="2"/>
      <c r="AH33" s="2"/>
      <c r="AI33" s="2"/>
      <c r="AJ33" s="2"/>
      <c r="AK33" s="97">
        <v>0.3</v>
      </c>
      <c r="AL33" s="97">
        <v>0.3</v>
      </c>
      <c r="AM33" s="2"/>
      <c r="AN33" s="2"/>
      <c r="AO33" s="2"/>
      <c r="AP33" s="2"/>
      <c r="AQ33" s="97">
        <v>0.25</v>
      </c>
      <c r="AR33" s="97">
        <v>0.25</v>
      </c>
      <c r="AS33" s="19">
        <f t="shared" si="3"/>
        <v>0.99</v>
      </c>
      <c r="AT33" s="19">
        <f t="shared" si="4"/>
        <v>0.99</v>
      </c>
      <c r="AU33" s="161">
        <f t="shared" si="6"/>
        <v>1</v>
      </c>
      <c r="AV33" s="162">
        <f>AQ33/AR33</f>
        <v>1</v>
      </c>
      <c r="AW33" s="183">
        <v>1</v>
      </c>
      <c r="AX33" s="162" t="s">
        <v>533</v>
      </c>
      <c r="AY33" s="104" t="s">
        <v>613</v>
      </c>
    </row>
    <row r="34" spans="1:51" s="105" customFormat="1" ht="113.25" customHeight="1" x14ac:dyDescent="0.25">
      <c r="B34" s="106" t="s">
        <v>619</v>
      </c>
      <c r="C34" s="65">
        <f t="shared" si="2"/>
        <v>25</v>
      </c>
      <c r="D34" s="1" t="s">
        <v>183</v>
      </c>
      <c r="E34" s="1" t="s">
        <v>184</v>
      </c>
      <c r="F34" s="1" t="s">
        <v>185</v>
      </c>
      <c r="G34" s="1" t="s">
        <v>192</v>
      </c>
      <c r="H34" s="1" t="s">
        <v>193</v>
      </c>
      <c r="I34" s="1" t="s">
        <v>188</v>
      </c>
      <c r="J34" s="1" t="s">
        <v>27</v>
      </c>
      <c r="K34" s="5" t="s">
        <v>28</v>
      </c>
      <c r="L34" s="1" t="s">
        <v>29</v>
      </c>
      <c r="M34" s="1" t="s">
        <v>69</v>
      </c>
      <c r="N34" s="1" t="s">
        <v>194</v>
      </c>
      <c r="O34" s="1" t="s">
        <v>195</v>
      </c>
      <c r="P34" s="1"/>
      <c r="Q34" s="1"/>
      <c r="R34" s="5" t="s">
        <v>33</v>
      </c>
      <c r="S34" s="5" t="s">
        <v>34</v>
      </c>
      <c r="T34" s="74">
        <v>1</v>
      </c>
      <c r="U34" s="1"/>
      <c r="V34" s="1"/>
      <c r="W34" s="1"/>
      <c r="X34" s="1"/>
      <c r="Y34" s="1">
        <v>447</v>
      </c>
      <c r="Z34" s="1">
        <v>447</v>
      </c>
      <c r="AA34" s="2"/>
      <c r="AB34" s="2"/>
      <c r="AC34" s="2"/>
      <c r="AD34" s="2"/>
      <c r="AE34" s="5">
        <v>45</v>
      </c>
      <c r="AF34" s="5">
        <v>45</v>
      </c>
      <c r="AG34" s="2"/>
      <c r="AH34" s="2"/>
      <c r="AI34" s="2"/>
      <c r="AJ34" s="2"/>
      <c r="AK34" s="5">
        <v>124</v>
      </c>
      <c r="AL34" s="5">
        <v>124</v>
      </c>
      <c r="AM34" s="2"/>
      <c r="AN34" s="2"/>
      <c r="AO34" s="2"/>
      <c r="AP34" s="5"/>
      <c r="AQ34" s="5">
        <v>100</v>
      </c>
      <c r="AR34" s="5">
        <v>100</v>
      </c>
      <c r="AS34" s="83">
        <f t="shared" si="3"/>
        <v>716</v>
      </c>
      <c r="AT34" s="83">
        <f t="shared" si="4"/>
        <v>716</v>
      </c>
      <c r="AU34" s="81">
        <f t="shared" si="6"/>
        <v>1</v>
      </c>
      <c r="AV34" s="162">
        <f>(AM34+AO34+AQ34)/(AN34+AP34+AR34)</f>
        <v>1</v>
      </c>
      <c r="AW34" s="81">
        <v>1</v>
      </c>
      <c r="AX34" s="172" t="s">
        <v>533</v>
      </c>
      <c r="AY34" s="104" t="s">
        <v>613</v>
      </c>
    </row>
    <row r="35" spans="1:51" s="105" customFormat="1" ht="113.25" customHeight="1" x14ac:dyDescent="0.25">
      <c r="B35" s="106" t="s">
        <v>620</v>
      </c>
      <c r="C35" s="65">
        <f t="shared" si="2"/>
        <v>26</v>
      </c>
      <c r="D35" s="1" t="s">
        <v>183</v>
      </c>
      <c r="E35" s="1" t="s">
        <v>184</v>
      </c>
      <c r="F35" s="1" t="s">
        <v>185</v>
      </c>
      <c r="G35" s="1" t="s">
        <v>196</v>
      </c>
      <c r="H35" s="1" t="s">
        <v>197</v>
      </c>
      <c r="I35" s="1" t="s">
        <v>188</v>
      </c>
      <c r="J35" s="1" t="s">
        <v>27</v>
      </c>
      <c r="K35" s="5" t="s">
        <v>28</v>
      </c>
      <c r="L35" s="1" t="s">
        <v>29</v>
      </c>
      <c r="M35" s="1" t="s">
        <v>69</v>
      </c>
      <c r="N35" s="1" t="s">
        <v>198</v>
      </c>
      <c r="O35" s="1" t="s">
        <v>199</v>
      </c>
      <c r="P35" s="1"/>
      <c r="Q35" s="1"/>
      <c r="R35" s="5" t="s">
        <v>33</v>
      </c>
      <c r="S35" s="5" t="s">
        <v>34</v>
      </c>
      <c r="T35" s="74">
        <v>1</v>
      </c>
      <c r="U35" s="1"/>
      <c r="V35" s="1"/>
      <c r="W35" s="1"/>
      <c r="X35" s="1"/>
      <c r="Y35" s="1">
        <v>212</v>
      </c>
      <c r="Z35" s="1">
        <v>212</v>
      </c>
      <c r="AA35" s="2"/>
      <c r="AB35" s="2"/>
      <c r="AC35" s="2"/>
      <c r="AD35" s="2"/>
      <c r="AE35" s="5">
        <v>160</v>
      </c>
      <c r="AF35" s="5">
        <v>160</v>
      </c>
      <c r="AG35" s="2"/>
      <c r="AH35" s="2"/>
      <c r="AI35" s="2"/>
      <c r="AJ35" s="2"/>
      <c r="AK35" s="5">
        <v>168</v>
      </c>
      <c r="AL35" s="5">
        <v>168</v>
      </c>
      <c r="AM35" s="5"/>
      <c r="AN35" s="5"/>
      <c r="AO35" s="2"/>
      <c r="AP35" s="2"/>
      <c r="AQ35" s="5">
        <v>221</v>
      </c>
      <c r="AR35" s="5">
        <v>221</v>
      </c>
      <c r="AS35" s="83">
        <f t="shared" si="3"/>
        <v>761</v>
      </c>
      <c r="AT35" s="83">
        <f t="shared" si="4"/>
        <v>761</v>
      </c>
      <c r="AU35" s="81">
        <f t="shared" si="6"/>
        <v>1</v>
      </c>
      <c r="AV35" s="162">
        <f>(AM35+AO35+AQ35)/(AN35+AP35+AR35)</f>
        <v>1</v>
      </c>
      <c r="AW35" s="81">
        <v>1</v>
      </c>
      <c r="AX35" s="191" t="s">
        <v>533</v>
      </c>
      <c r="AY35" s="104" t="s">
        <v>613</v>
      </c>
    </row>
    <row r="36" spans="1:51" s="105" customFormat="1" ht="91.5" customHeight="1" x14ac:dyDescent="0.25">
      <c r="B36" s="106" t="s">
        <v>621</v>
      </c>
      <c r="C36" s="65">
        <f t="shared" si="2"/>
        <v>27</v>
      </c>
      <c r="D36" s="1" t="s">
        <v>183</v>
      </c>
      <c r="E36" s="1" t="s">
        <v>184</v>
      </c>
      <c r="F36" s="1" t="s">
        <v>185</v>
      </c>
      <c r="G36" s="1" t="s">
        <v>186</v>
      </c>
      <c r="H36" s="1" t="s">
        <v>187</v>
      </c>
      <c r="I36" s="1" t="s">
        <v>188</v>
      </c>
      <c r="J36" s="1" t="s">
        <v>27</v>
      </c>
      <c r="K36" s="5" t="s">
        <v>28</v>
      </c>
      <c r="L36" s="1" t="s">
        <v>29</v>
      </c>
      <c r="M36" s="1" t="s">
        <v>69</v>
      </c>
      <c r="N36" s="1" t="s">
        <v>189</v>
      </c>
      <c r="O36" s="1" t="s">
        <v>190</v>
      </c>
      <c r="P36" s="1"/>
      <c r="Q36" s="1"/>
      <c r="R36" s="5" t="s">
        <v>33</v>
      </c>
      <c r="S36" s="5" t="s">
        <v>34</v>
      </c>
      <c r="T36" s="74">
        <v>1</v>
      </c>
      <c r="U36" s="1"/>
      <c r="V36" s="1"/>
      <c r="W36" s="1"/>
      <c r="X36" s="1"/>
      <c r="Y36" s="1">
        <v>170</v>
      </c>
      <c r="Z36" s="1">
        <v>170</v>
      </c>
      <c r="AA36" s="2"/>
      <c r="AB36" s="2"/>
      <c r="AC36" s="2"/>
      <c r="AD36" s="2"/>
      <c r="AE36" s="1">
        <v>26</v>
      </c>
      <c r="AF36" s="1">
        <v>26</v>
      </c>
      <c r="AG36" s="2"/>
      <c r="AH36" s="2"/>
      <c r="AI36" s="2"/>
      <c r="AJ36" s="2"/>
      <c r="AK36" s="1">
        <v>28</v>
      </c>
      <c r="AL36" s="1">
        <v>28</v>
      </c>
      <c r="AM36" s="2"/>
      <c r="AN36" s="2"/>
      <c r="AO36" s="2"/>
      <c r="AP36" s="5"/>
      <c r="AQ36" s="5">
        <v>46</v>
      </c>
      <c r="AR36" s="5">
        <v>46</v>
      </c>
      <c r="AS36" s="83">
        <f t="shared" si="3"/>
        <v>270</v>
      </c>
      <c r="AT36" s="83">
        <f t="shared" si="4"/>
        <v>270</v>
      </c>
      <c r="AU36" s="81">
        <f t="shared" si="6"/>
        <v>1</v>
      </c>
      <c r="AV36" s="162">
        <f>(AM36+AO36+AQ36)/(AN36+AP36+AR36)</f>
        <v>1</v>
      </c>
      <c r="AW36" s="81">
        <v>1</v>
      </c>
      <c r="AX36" s="172" t="s">
        <v>533</v>
      </c>
      <c r="AY36" s="104" t="s">
        <v>613</v>
      </c>
    </row>
    <row r="37" spans="1:51" s="105" customFormat="1" ht="76.5" x14ac:dyDescent="0.25">
      <c r="B37" s="106" t="s">
        <v>622</v>
      </c>
      <c r="C37" s="65">
        <f t="shared" si="2"/>
        <v>28</v>
      </c>
      <c r="D37" s="1" t="s">
        <v>183</v>
      </c>
      <c r="E37" s="1" t="s">
        <v>184</v>
      </c>
      <c r="F37" s="1" t="s">
        <v>623</v>
      </c>
      <c r="G37" s="1" t="s">
        <v>624</v>
      </c>
      <c r="H37" s="1" t="s">
        <v>625</v>
      </c>
      <c r="I37" s="1" t="s">
        <v>188</v>
      </c>
      <c r="J37" s="1" t="s">
        <v>46</v>
      </c>
      <c r="K37" s="5" t="s">
        <v>28</v>
      </c>
      <c r="L37" s="1" t="s">
        <v>29</v>
      </c>
      <c r="M37" s="1" t="s">
        <v>69</v>
      </c>
      <c r="N37" s="1" t="s">
        <v>626</v>
      </c>
      <c r="O37" s="1" t="s">
        <v>627</v>
      </c>
      <c r="P37" s="1"/>
      <c r="Q37" s="1"/>
      <c r="R37" s="5" t="s">
        <v>33</v>
      </c>
      <c r="S37" s="5" t="s">
        <v>34</v>
      </c>
      <c r="T37" s="74">
        <v>1</v>
      </c>
      <c r="U37" s="1"/>
      <c r="V37" s="1"/>
      <c r="W37" s="1"/>
      <c r="X37" s="1"/>
      <c r="Y37" s="1"/>
      <c r="Z37" s="1"/>
      <c r="AA37" s="2"/>
      <c r="AB37" s="2"/>
      <c r="AC37" s="2"/>
      <c r="AD37" s="2"/>
      <c r="AE37" s="1">
        <v>130</v>
      </c>
      <c r="AF37" s="1">
        <v>154</v>
      </c>
      <c r="AG37" s="2"/>
      <c r="AH37" s="2"/>
      <c r="AI37" s="2"/>
      <c r="AJ37" s="2"/>
      <c r="AK37" s="1">
        <v>158</v>
      </c>
      <c r="AL37" s="1">
        <v>179</v>
      </c>
      <c r="AM37" s="2"/>
      <c r="AN37" s="2"/>
      <c r="AO37" s="2"/>
      <c r="AP37" s="2"/>
      <c r="AQ37" s="1">
        <v>149</v>
      </c>
      <c r="AR37" s="1">
        <v>166</v>
      </c>
      <c r="AS37" s="83">
        <f t="shared" si="3"/>
        <v>437</v>
      </c>
      <c r="AT37" s="83">
        <f t="shared" si="4"/>
        <v>499</v>
      </c>
      <c r="AU37" s="81">
        <f t="shared" si="6"/>
        <v>0.87575150300601201</v>
      </c>
      <c r="AV37" s="162">
        <f>(AM37+AO37+AQ37)/(AN37+AP37+AR37)</f>
        <v>0.89759036144578308</v>
      </c>
      <c r="AW37" s="162">
        <v>0.89820359281437101</v>
      </c>
      <c r="AX37" s="172" t="s">
        <v>533</v>
      </c>
      <c r="AY37" s="104" t="s">
        <v>613</v>
      </c>
    </row>
    <row r="38" spans="1:51" s="105" customFormat="1" ht="89.25" x14ac:dyDescent="0.25">
      <c r="B38" s="106" t="s">
        <v>628</v>
      </c>
      <c r="C38" s="65">
        <f t="shared" si="2"/>
        <v>29</v>
      </c>
      <c r="D38" s="1" t="s">
        <v>206</v>
      </c>
      <c r="E38" s="1" t="s">
        <v>207</v>
      </c>
      <c r="F38" s="1" t="s">
        <v>208</v>
      </c>
      <c r="G38" s="1" t="s">
        <v>209</v>
      </c>
      <c r="H38" s="1" t="s">
        <v>210</v>
      </c>
      <c r="I38" s="1" t="s">
        <v>211</v>
      </c>
      <c r="J38" s="1" t="s">
        <v>27</v>
      </c>
      <c r="K38" s="5" t="s">
        <v>28</v>
      </c>
      <c r="L38" s="1" t="s">
        <v>29</v>
      </c>
      <c r="M38" s="1" t="s">
        <v>69</v>
      </c>
      <c r="N38" s="1" t="s">
        <v>212</v>
      </c>
      <c r="O38" s="1" t="s">
        <v>213</v>
      </c>
      <c r="P38" s="1"/>
      <c r="Q38" s="1"/>
      <c r="R38" s="5" t="s">
        <v>214</v>
      </c>
      <c r="S38" s="5" t="s">
        <v>34</v>
      </c>
      <c r="T38" s="74">
        <v>1</v>
      </c>
      <c r="U38" s="1"/>
      <c r="V38" s="1"/>
      <c r="W38" s="1"/>
      <c r="X38" s="1"/>
      <c r="Y38" s="1">
        <v>18</v>
      </c>
      <c r="Z38" s="1">
        <v>18</v>
      </c>
      <c r="AA38" s="2"/>
      <c r="AB38" s="2"/>
      <c r="AC38" s="2"/>
      <c r="AD38" s="2"/>
      <c r="AE38" s="5">
        <v>43</v>
      </c>
      <c r="AF38" s="5">
        <v>43</v>
      </c>
      <c r="AG38" s="5"/>
      <c r="AH38" s="5"/>
      <c r="AI38" s="5"/>
      <c r="AJ38" s="5"/>
      <c r="AK38" s="5">
        <v>40</v>
      </c>
      <c r="AL38" s="5">
        <v>40</v>
      </c>
      <c r="AM38" s="2"/>
      <c r="AN38" s="2"/>
      <c r="AO38" s="2"/>
      <c r="AP38" s="2"/>
      <c r="AQ38" s="5">
        <f>28+17+13</f>
        <v>58</v>
      </c>
      <c r="AR38" s="5">
        <v>58</v>
      </c>
      <c r="AS38" s="83">
        <f t="shared" si="3"/>
        <v>159</v>
      </c>
      <c r="AT38" s="83">
        <f t="shared" si="4"/>
        <v>159</v>
      </c>
      <c r="AU38" s="81">
        <f>(AS38/AT38)</f>
        <v>1</v>
      </c>
      <c r="AV38" s="162">
        <f t="shared" ref="AV38:AV45" si="7">(AG38+AI38+AQ38)/(AH38+AJ38+AR38)</f>
        <v>1</v>
      </c>
      <c r="AW38" s="81">
        <f t="shared" ref="AW38:AW45" si="8">AQ38/AR38</f>
        <v>1</v>
      </c>
      <c r="AX38" s="172" t="s">
        <v>533</v>
      </c>
      <c r="AY38" s="104" t="s">
        <v>613</v>
      </c>
    </row>
    <row r="39" spans="1:51" s="105" customFormat="1" ht="91.5" customHeight="1" x14ac:dyDescent="0.25">
      <c r="B39" s="106" t="s">
        <v>629</v>
      </c>
      <c r="C39" s="65">
        <f t="shared" si="2"/>
        <v>30</v>
      </c>
      <c r="D39" s="1" t="s">
        <v>206</v>
      </c>
      <c r="E39" s="1" t="s">
        <v>207</v>
      </c>
      <c r="F39" s="1" t="s">
        <v>216</v>
      </c>
      <c r="G39" s="1" t="s">
        <v>233</v>
      </c>
      <c r="H39" s="1" t="s">
        <v>234</v>
      </c>
      <c r="I39" s="1" t="s">
        <v>211</v>
      </c>
      <c r="J39" s="1" t="s">
        <v>27</v>
      </c>
      <c r="K39" s="5" t="s">
        <v>28</v>
      </c>
      <c r="L39" s="1" t="s">
        <v>29</v>
      </c>
      <c r="M39" s="1" t="s">
        <v>69</v>
      </c>
      <c r="N39" s="1" t="s">
        <v>235</v>
      </c>
      <c r="O39" s="1" t="s">
        <v>236</v>
      </c>
      <c r="P39" s="1"/>
      <c r="Q39" s="1"/>
      <c r="R39" s="5" t="s">
        <v>214</v>
      </c>
      <c r="S39" s="5" t="s">
        <v>34</v>
      </c>
      <c r="T39" s="74">
        <v>1</v>
      </c>
      <c r="U39" s="1"/>
      <c r="V39" s="1"/>
      <c r="W39" s="1"/>
      <c r="X39" s="1"/>
      <c r="Y39" s="1">
        <v>33</v>
      </c>
      <c r="Z39" s="1">
        <v>33</v>
      </c>
      <c r="AA39" s="2"/>
      <c r="AB39" s="2"/>
      <c r="AC39" s="2"/>
      <c r="AD39" s="2"/>
      <c r="AE39" s="2">
        <v>32</v>
      </c>
      <c r="AF39" s="2">
        <v>32</v>
      </c>
      <c r="AG39" s="2"/>
      <c r="AH39" s="2"/>
      <c r="AI39" s="2"/>
      <c r="AJ39" s="2"/>
      <c r="AK39" s="2">
        <v>24</v>
      </c>
      <c r="AL39" s="2">
        <v>24</v>
      </c>
      <c r="AM39" s="2"/>
      <c r="AN39" s="2"/>
      <c r="AO39" s="2"/>
      <c r="AP39" s="2"/>
      <c r="AQ39" s="2">
        <v>29</v>
      </c>
      <c r="AR39" s="2">
        <v>29</v>
      </c>
      <c r="AS39" s="83">
        <f t="shared" si="3"/>
        <v>118</v>
      </c>
      <c r="AT39" s="83">
        <f t="shared" si="4"/>
        <v>118</v>
      </c>
      <c r="AU39" s="81">
        <f>(AS39/AT39)</f>
        <v>1</v>
      </c>
      <c r="AV39" s="162">
        <f t="shared" si="7"/>
        <v>1</v>
      </c>
      <c r="AW39" s="81">
        <f t="shared" si="8"/>
        <v>1</v>
      </c>
      <c r="AX39" s="172" t="s">
        <v>533</v>
      </c>
      <c r="AY39" s="104" t="s">
        <v>613</v>
      </c>
    </row>
    <row r="40" spans="1:51" ht="68.25" customHeight="1" x14ac:dyDescent="0.25">
      <c r="A40" s="105"/>
      <c r="B40" s="106" t="s">
        <v>630</v>
      </c>
      <c r="C40" s="65">
        <f t="shared" si="2"/>
        <v>31</v>
      </c>
      <c r="D40" s="1" t="s">
        <v>206</v>
      </c>
      <c r="E40" s="1" t="s">
        <v>207</v>
      </c>
      <c r="F40" s="1" t="s">
        <v>216</v>
      </c>
      <c r="G40" s="1" t="s">
        <v>217</v>
      </c>
      <c r="H40" s="1" t="s">
        <v>218</v>
      </c>
      <c r="I40" s="1" t="s">
        <v>211</v>
      </c>
      <c r="J40" s="1" t="s">
        <v>27</v>
      </c>
      <c r="K40" s="5" t="s">
        <v>28</v>
      </c>
      <c r="L40" s="1" t="s">
        <v>29</v>
      </c>
      <c r="M40" s="1" t="s">
        <v>69</v>
      </c>
      <c r="N40" s="1" t="s">
        <v>219</v>
      </c>
      <c r="P40" s="1" t="s">
        <v>220</v>
      </c>
      <c r="Q40" s="1"/>
      <c r="R40" s="5" t="s">
        <v>214</v>
      </c>
      <c r="S40" s="5" t="s">
        <v>34</v>
      </c>
      <c r="T40" s="74">
        <v>1</v>
      </c>
      <c r="U40" s="1"/>
      <c r="V40" s="1"/>
      <c r="W40" s="1"/>
      <c r="X40" s="1"/>
      <c r="Y40" s="1">
        <v>0</v>
      </c>
      <c r="Z40" s="1">
        <v>0</v>
      </c>
      <c r="AA40" s="2"/>
      <c r="AB40" s="2"/>
      <c r="AC40" s="2"/>
      <c r="AD40" s="2"/>
      <c r="AE40" s="5">
        <v>5</v>
      </c>
      <c r="AF40" s="5">
        <v>5</v>
      </c>
      <c r="AG40" s="2"/>
      <c r="AH40" s="2"/>
      <c r="AI40" s="2"/>
      <c r="AJ40" s="2"/>
      <c r="AK40" s="2">
        <v>5</v>
      </c>
      <c r="AL40" s="2">
        <v>5</v>
      </c>
      <c r="AM40" s="2"/>
      <c r="AN40" s="2"/>
      <c r="AO40" s="2"/>
      <c r="AP40" s="2"/>
      <c r="AQ40" s="2">
        <v>2</v>
      </c>
      <c r="AR40" s="2">
        <v>2</v>
      </c>
      <c r="AS40" s="83">
        <f t="shared" si="3"/>
        <v>12</v>
      </c>
      <c r="AT40" s="83">
        <f t="shared" si="4"/>
        <v>12</v>
      </c>
      <c r="AU40" s="81">
        <v>1</v>
      </c>
      <c r="AV40" s="162">
        <f t="shared" si="7"/>
        <v>1</v>
      </c>
      <c r="AW40" s="81">
        <f t="shared" si="8"/>
        <v>1</v>
      </c>
      <c r="AX40" s="172" t="s">
        <v>533</v>
      </c>
      <c r="AY40" s="104" t="s">
        <v>613</v>
      </c>
    </row>
    <row r="41" spans="1:51" s="105" customFormat="1" ht="87" customHeight="1" x14ac:dyDescent="0.25">
      <c r="B41" s="106" t="s">
        <v>631</v>
      </c>
      <c r="C41" s="65">
        <f t="shared" si="2"/>
        <v>32</v>
      </c>
      <c r="D41" s="1" t="s">
        <v>206</v>
      </c>
      <c r="E41" s="1" t="s">
        <v>207</v>
      </c>
      <c r="F41" s="1" t="s">
        <v>216</v>
      </c>
      <c r="G41" s="1" t="s">
        <v>222</v>
      </c>
      <c r="H41" s="1" t="s">
        <v>223</v>
      </c>
      <c r="I41" s="1" t="s">
        <v>211</v>
      </c>
      <c r="J41" s="1" t="s">
        <v>27</v>
      </c>
      <c r="K41" s="5" t="s">
        <v>28</v>
      </c>
      <c r="L41" s="1" t="s">
        <v>578</v>
      </c>
      <c r="M41" s="1" t="s">
        <v>69</v>
      </c>
      <c r="N41" s="1" t="s">
        <v>225</v>
      </c>
      <c r="O41" s="1" t="s">
        <v>226</v>
      </c>
      <c r="P41" s="1"/>
      <c r="Q41" s="106"/>
      <c r="R41" s="5" t="s">
        <v>214</v>
      </c>
      <c r="S41" s="5" t="s">
        <v>34</v>
      </c>
      <c r="T41" s="74">
        <v>1</v>
      </c>
      <c r="U41" s="1"/>
      <c r="V41" s="1"/>
      <c r="W41" s="1"/>
      <c r="X41" s="1"/>
      <c r="Y41" s="1">
        <v>112</v>
      </c>
      <c r="Z41" s="1">
        <v>112</v>
      </c>
      <c r="AA41" s="2"/>
      <c r="AB41" s="2"/>
      <c r="AC41" s="2"/>
      <c r="AD41" s="2"/>
      <c r="AE41" s="5">
        <f>215-Y41</f>
        <v>103</v>
      </c>
      <c r="AF41" s="5">
        <v>103</v>
      </c>
      <c r="AG41" s="1"/>
      <c r="AH41" s="2"/>
      <c r="AI41" s="2"/>
      <c r="AJ41" s="2"/>
      <c r="AK41" s="2">
        <v>110</v>
      </c>
      <c r="AL41" s="2">
        <v>110</v>
      </c>
      <c r="AM41" s="2"/>
      <c r="AN41" s="2"/>
      <c r="AO41" s="2"/>
      <c r="AP41" s="2"/>
      <c r="AQ41" s="2">
        <v>78</v>
      </c>
      <c r="AR41" s="2">
        <v>78</v>
      </c>
      <c r="AS41" s="83">
        <f t="shared" si="3"/>
        <v>403</v>
      </c>
      <c r="AT41" s="83">
        <f t="shared" si="4"/>
        <v>403</v>
      </c>
      <c r="AU41" s="81">
        <f>(AS41/AT41)</f>
        <v>1</v>
      </c>
      <c r="AV41" s="162">
        <f t="shared" si="7"/>
        <v>1</v>
      </c>
      <c r="AW41" s="81">
        <f t="shared" si="8"/>
        <v>1</v>
      </c>
      <c r="AX41" s="172" t="s">
        <v>533</v>
      </c>
      <c r="AY41" s="104" t="s">
        <v>613</v>
      </c>
    </row>
    <row r="42" spans="1:51" s="4" customFormat="1" ht="102" customHeight="1" x14ac:dyDescent="0.25">
      <c r="A42" s="105"/>
      <c r="B42" s="106" t="s">
        <v>632</v>
      </c>
      <c r="C42" s="65">
        <f t="shared" si="2"/>
        <v>33</v>
      </c>
      <c r="D42" s="1" t="s">
        <v>206</v>
      </c>
      <c r="E42" s="1" t="s">
        <v>207</v>
      </c>
      <c r="F42" s="1" t="s">
        <v>216</v>
      </c>
      <c r="G42" s="1" t="s">
        <v>228</v>
      </c>
      <c r="H42" s="1" t="s">
        <v>229</v>
      </c>
      <c r="I42" s="1" t="s">
        <v>211</v>
      </c>
      <c r="J42" s="1" t="s">
        <v>27</v>
      </c>
      <c r="K42" s="5" t="s">
        <v>28</v>
      </c>
      <c r="L42" s="1" t="s">
        <v>29</v>
      </c>
      <c r="M42" s="1" t="s">
        <v>69</v>
      </c>
      <c r="N42" s="1" t="s">
        <v>230</v>
      </c>
      <c r="O42" s="1" t="s">
        <v>231</v>
      </c>
      <c r="P42" s="1"/>
      <c r="Q42" s="1"/>
      <c r="R42" s="5" t="s">
        <v>214</v>
      </c>
      <c r="S42" s="5" t="s">
        <v>34</v>
      </c>
      <c r="T42" s="74">
        <v>1</v>
      </c>
      <c r="U42" s="1"/>
      <c r="V42" s="1"/>
      <c r="W42" s="1"/>
      <c r="X42" s="1"/>
      <c r="Y42" s="1">
        <v>19396</v>
      </c>
      <c r="Z42" s="1">
        <v>19396</v>
      </c>
      <c r="AA42" s="2"/>
      <c r="AB42" s="2"/>
      <c r="AC42" s="2"/>
      <c r="AD42" s="2"/>
      <c r="AE42" s="5">
        <v>18664</v>
      </c>
      <c r="AF42" s="5">
        <v>18664</v>
      </c>
      <c r="AG42" s="2"/>
      <c r="AH42" s="2"/>
      <c r="AI42" s="2"/>
      <c r="AJ42" s="2"/>
      <c r="AK42" s="2">
        <f>8557+6100+6880</f>
        <v>21537</v>
      </c>
      <c r="AL42" s="2">
        <f>8557+6100+6880</f>
        <v>21537</v>
      </c>
      <c r="AM42" s="2"/>
      <c r="AN42" s="2"/>
      <c r="AO42" s="2"/>
      <c r="AP42" s="2"/>
      <c r="AQ42" s="2">
        <v>17429</v>
      </c>
      <c r="AR42" s="2">
        <v>17429</v>
      </c>
      <c r="AS42" s="83">
        <f t="shared" si="3"/>
        <v>77026</v>
      </c>
      <c r="AT42" s="83">
        <f t="shared" si="4"/>
        <v>77026</v>
      </c>
      <c r="AU42" s="81">
        <f>(AS42/AT42)</f>
        <v>1</v>
      </c>
      <c r="AV42" s="162">
        <f t="shared" si="7"/>
        <v>1</v>
      </c>
      <c r="AW42" s="81">
        <f t="shared" si="8"/>
        <v>1</v>
      </c>
      <c r="AX42" s="172" t="s">
        <v>533</v>
      </c>
      <c r="AY42" s="104" t="s">
        <v>613</v>
      </c>
    </row>
    <row r="43" spans="1:51" s="4" customFormat="1" ht="102" customHeight="1" x14ac:dyDescent="0.25">
      <c r="A43" s="105"/>
      <c r="B43" s="106" t="s">
        <v>633</v>
      </c>
      <c r="C43" s="65">
        <f t="shared" si="2"/>
        <v>34</v>
      </c>
      <c r="D43" s="1" t="s">
        <v>206</v>
      </c>
      <c r="E43" s="1" t="s">
        <v>207</v>
      </c>
      <c r="F43" s="1" t="s">
        <v>207</v>
      </c>
      <c r="G43" s="1" t="s">
        <v>238</v>
      </c>
      <c r="H43" s="1" t="s">
        <v>239</v>
      </c>
      <c r="I43" s="1" t="s">
        <v>211</v>
      </c>
      <c r="J43" s="1" t="s">
        <v>27</v>
      </c>
      <c r="K43" s="5" t="s">
        <v>28</v>
      </c>
      <c r="L43" s="1" t="s">
        <v>29</v>
      </c>
      <c r="M43" s="1" t="s">
        <v>240</v>
      </c>
      <c r="N43" s="1" t="s">
        <v>241</v>
      </c>
      <c r="O43" s="1" t="s">
        <v>242</v>
      </c>
      <c r="P43" s="1"/>
      <c r="Q43" s="1"/>
      <c r="R43" s="5" t="s">
        <v>214</v>
      </c>
      <c r="S43" s="5" t="s">
        <v>34</v>
      </c>
      <c r="T43" s="74">
        <v>1</v>
      </c>
      <c r="U43" s="1"/>
      <c r="V43" s="1"/>
      <c r="W43" s="1"/>
      <c r="X43" s="1"/>
      <c r="Y43" s="1">
        <v>1</v>
      </c>
      <c r="Z43" s="1">
        <v>1</v>
      </c>
      <c r="AA43" s="2"/>
      <c r="AB43" s="2"/>
      <c r="AC43" s="2"/>
      <c r="AD43" s="2"/>
      <c r="AE43" s="2">
        <v>1</v>
      </c>
      <c r="AF43" s="2">
        <v>1</v>
      </c>
      <c r="AG43" s="2"/>
      <c r="AH43" s="2"/>
      <c r="AI43" s="2"/>
      <c r="AJ43" s="2"/>
      <c r="AK43" s="2">
        <v>2</v>
      </c>
      <c r="AL43" s="2">
        <v>2</v>
      </c>
      <c r="AM43" s="2"/>
      <c r="AN43" s="2"/>
      <c r="AO43" s="2"/>
      <c r="AP43" s="2"/>
      <c r="AQ43" s="2">
        <v>2</v>
      </c>
      <c r="AR43" s="2">
        <v>2</v>
      </c>
      <c r="AS43" s="83">
        <f t="shared" si="3"/>
        <v>6</v>
      </c>
      <c r="AT43" s="83">
        <f t="shared" si="4"/>
        <v>6</v>
      </c>
      <c r="AU43" s="81">
        <f>(AS43/AT43)</f>
        <v>1</v>
      </c>
      <c r="AV43" s="162">
        <f t="shared" si="7"/>
        <v>1</v>
      </c>
      <c r="AW43" s="81">
        <f t="shared" si="8"/>
        <v>1</v>
      </c>
      <c r="AX43" s="172" t="s">
        <v>533</v>
      </c>
      <c r="AY43" s="104" t="s">
        <v>613</v>
      </c>
    </row>
    <row r="44" spans="1:51" s="4" customFormat="1" ht="102" customHeight="1" x14ac:dyDescent="0.25">
      <c r="A44" s="105"/>
      <c r="B44" s="106" t="s">
        <v>634</v>
      </c>
      <c r="C44" s="65">
        <f t="shared" si="2"/>
        <v>35</v>
      </c>
      <c r="D44" s="1" t="s">
        <v>206</v>
      </c>
      <c r="E44" s="1" t="s">
        <v>207</v>
      </c>
      <c r="F44" s="1" t="s">
        <v>216</v>
      </c>
      <c r="G44" s="1" t="s">
        <v>238</v>
      </c>
      <c r="H44" s="1" t="s">
        <v>245</v>
      </c>
      <c r="I44" s="1" t="s">
        <v>211</v>
      </c>
      <c r="J44" s="1" t="s">
        <v>27</v>
      </c>
      <c r="K44" s="5" t="s">
        <v>28</v>
      </c>
      <c r="L44" s="1" t="s">
        <v>29</v>
      </c>
      <c r="M44" s="1" t="s">
        <v>240</v>
      </c>
      <c r="N44" s="1" t="s">
        <v>246</v>
      </c>
      <c r="O44" s="1" t="s">
        <v>247</v>
      </c>
      <c r="P44" s="1"/>
      <c r="Q44" s="1"/>
      <c r="R44" s="5" t="s">
        <v>214</v>
      </c>
      <c r="S44" s="5" t="s">
        <v>34</v>
      </c>
      <c r="T44" s="74">
        <v>1</v>
      </c>
      <c r="U44" s="1"/>
      <c r="V44" s="1"/>
      <c r="W44" s="1"/>
      <c r="X44" s="1"/>
      <c r="Y44" s="1">
        <v>6</v>
      </c>
      <c r="Z44" s="1">
        <v>6</v>
      </c>
      <c r="AA44" s="2"/>
      <c r="AB44" s="2"/>
      <c r="AC44" s="2"/>
      <c r="AD44" s="2"/>
      <c r="AE44" s="2">
        <v>5</v>
      </c>
      <c r="AF44" s="2">
        <v>5</v>
      </c>
      <c r="AG44" s="2"/>
      <c r="AH44" s="2"/>
      <c r="AI44" s="2"/>
      <c r="AJ44" s="2"/>
      <c r="AK44" s="2">
        <v>8</v>
      </c>
      <c r="AL44" s="2">
        <v>8</v>
      </c>
      <c r="AM44" s="2"/>
      <c r="AN44" s="2"/>
      <c r="AO44" s="2"/>
      <c r="AP44" s="2"/>
      <c r="AQ44" s="2">
        <v>4</v>
      </c>
      <c r="AR44" s="2">
        <v>4</v>
      </c>
      <c r="AS44" s="83">
        <f t="shared" si="3"/>
        <v>23</v>
      </c>
      <c r="AT44" s="83">
        <f t="shared" si="4"/>
        <v>23</v>
      </c>
      <c r="AU44" s="81">
        <f>(AS44/AT44)</f>
        <v>1</v>
      </c>
      <c r="AV44" s="162">
        <f t="shared" si="7"/>
        <v>1</v>
      </c>
      <c r="AW44" s="81">
        <f t="shared" si="8"/>
        <v>1</v>
      </c>
      <c r="AX44" s="172" t="s">
        <v>533</v>
      </c>
      <c r="AY44" s="104" t="s">
        <v>613</v>
      </c>
    </row>
    <row r="45" spans="1:51" s="105" customFormat="1" ht="93.75" customHeight="1" x14ac:dyDescent="0.25">
      <c r="B45" s="106" t="s">
        <v>635</v>
      </c>
      <c r="C45" s="65">
        <f t="shared" si="2"/>
        <v>36</v>
      </c>
      <c r="D45" s="1" t="s">
        <v>206</v>
      </c>
      <c r="E45" s="1" t="s">
        <v>207</v>
      </c>
      <c r="F45" s="1" t="s">
        <v>216</v>
      </c>
      <c r="G45" s="1" t="s">
        <v>249</v>
      </c>
      <c r="H45" s="1" t="s">
        <v>250</v>
      </c>
      <c r="I45" s="1" t="s">
        <v>211</v>
      </c>
      <c r="J45" s="1" t="s">
        <v>27</v>
      </c>
      <c r="K45" s="5" t="s">
        <v>28</v>
      </c>
      <c r="L45" s="1" t="s">
        <v>29</v>
      </c>
      <c r="M45" s="1" t="s">
        <v>240</v>
      </c>
      <c r="N45" s="1" t="s">
        <v>251</v>
      </c>
      <c r="O45" s="1" t="s">
        <v>242</v>
      </c>
      <c r="P45" s="1"/>
      <c r="Q45" s="1"/>
      <c r="R45" s="5" t="s">
        <v>214</v>
      </c>
      <c r="S45" s="5" t="s">
        <v>34</v>
      </c>
      <c r="T45" s="74">
        <v>1</v>
      </c>
      <c r="U45" s="1"/>
      <c r="V45" s="1"/>
      <c r="W45" s="1"/>
      <c r="X45" s="1"/>
      <c r="Y45" s="1">
        <v>1</v>
      </c>
      <c r="Z45" s="1">
        <v>1</v>
      </c>
      <c r="AA45" s="2"/>
      <c r="AB45" s="2"/>
      <c r="AC45" s="2"/>
      <c r="AD45" s="2"/>
      <c r="AE45" s="2">
        <v>3</v>
      </c>
      <c r="AF45" s="2">
        <v>3</v>
      </c>
      <c r="AG45" s="2"/>
      <c r="AH45" s="2"/>
      <c r="AI45" s="2"/>
      <c r="AJ45" s="2"/>
      <c r="AK45" s="2">
        <v>3</v>
      </c>
      <c r="AL45" s="2">
        <v>3</v>
      </c>
      <c r="AM45" s="2"/>
      <c r="AN45" s="2"/>
      <c r="AO45" s="2"/>
      <c r="AP45" s="2"/>
      <c r="AQ45" s="2">
        <v>2</v>
      </c>
      <c r="AR45" s="2">
        <v>2</v>
      </c>
      <c r="AS45" s="83">
        <f t="shared" si="3"/>
        <v>9</v>
      </c>
      <c r="AT45" s="83">
        <f t="shared" si="4"/>
        <v>9</v>
      </c>
      <c r="AU45" s="81">
        <f>(AS45/AT45)</f>
        <v>1</v>
      </c>
      <c r="AV45" s="162">
        <f t="shared" si="7"/>
        <v>1</v>
      </c>
      <c r="AW45" s="81">
        <f t="shared" si="8"/>
        <v>1</v>
      </c>
      <c r="AX45" s="172" t="s">
        <v>533</v>
      </c>
      <c r="AY45" s="104" t="s">
        <v>613</v>
      </c>
    </row>
    <row r="46" spans="1:51" s="105" customFormat="1" ht="78.75" customHeight="1" x14ac:dyDescent="0.25">
      <c r="B46" s="106" t="s">
        <v>636</v>
      </c>
      <c r="C46" s="65">
        <f t="shared" si="2"/>
        <v>37</v>
      </c>
      <c r="D46" s="1" t="s">
        <v>253</v>
      </c>
      <c r="E46" s="1" t="s">
        <v>254</v>
      </c>
      <c r="F46" s="1" t="s">
        <v>255</v>
      </c>
      <c r="G46" s="1" t="s">
        <v>256</v>
      </c>
      <c r="H46" s="1" t="s">
        <v>257</v>
      </c>
      <c r="I46" s="1" t="s">
        <v>258</v>
      </c>
      <c r="J46" s="1" t="s">
        <v>27</v>
      </c>
      <c r="K46" s="5" t="s">
        <v>28</v>
      </c>
      <c r="L46" s="1" t="s">
        <v>29</v>
      </c>
      <c r="M46" s="1" t="s">
        <v>69</v>
      </c>
      <c r="N46" s="1" t="s">
        <v>259</v>
      </c>
      <c r="O46" s="1" t="s">
        <v>637</v>
      </c>
      <c r="P46" s="1"/>
      <c r="Q46" s="1"/>
      <c r="R46" s="5" t="s">
        <v>159</v>
      </c>
      <c r="S46" s="5" t="s">
        <v>34</v>
      </c>
      <c r="T46" s="74">
        <v>0.72</v>
      </c>
      <c r="U46" s="1"/>
      <c r="V46" s="1"/>
      <c r="W46" s="1"/>
      <c r="X46" s="1"/>
      <c r="Y46" s="1">
        <v>86755</v>
      </c>
      <c r="Z46" s="1">
        <v>80841</v>
      </c>
      <c r="AA46" s="169"/>
      <c r="AB46" s="1"/>
      <c r="AC46" s="1"/>
      <c r="AD46" s="1"/>
      <c r="AE46" s="1">
        <v>89985</v>
      </c>
      <c r="AF46" s="1">
        <v>86755</v>
      </c>
      <c r="AG46" s="2"/>
      <c r="AH46" s="2"/>
      <c r="AI46" s="2"/>
      <c r="AJ46" s="2"/>
      <c r="AK46" s="1">
        <v>118656</v>
      </c>
      <c r="AL46" s="1">
        <v>89985</v>
      </c>
      <c r="AM46" s="194"/>
      <c r="AN46" s="2"/>
      <c r="AO46" s="2"/>
      <c r="AP46" s="1"/>
      <c r="AQ46" s="1">
        <v>127701</v>
      </c>
      <c r="AR46" s="1">
        <f>AK46</f>
        <v>118656</v>
      </c>
      <c r="AS46" s="83">
        <f t="shared" si="3"/>
        <v>423097</v>
      </c>
      <c r="AT46" s="83">
        <f t="shared" si="4"/>
        <v>376237</v>
      </c>
      <c r="AU46" s="81">
        <f>(AS46/AT46)-1</f>
        <v>0.12454915385780763</v>
      </c>
      <c r="AV46" s="162">
        <f>(AQ46/AR46)-1</f>
        <v>7.6228762135922334E-2</v>
      </c>
      <c r="AW46" s="162">
        <f>AV46</f>
        <v>7.6228762135922334E-2</v>
      </c>
      <c r="AX46" s="172" t="s">
        <v>533</v>
      </c>
      <c r="AY46" s="104" t="s">
        <v>613</v>
      </c>
    </row>
    <row r="47" spans="1:51" s="105" customFormat="1" ht="93.75" customHeight="1" x14ac:dyDescent="0.25">
      <c r="A47" s="3"/>
      <c r="B47" s="106" t="s">
        <v>638</v>
      </c>
      <c r="C47" s="65">
        <f t="shared" si="2"/>
        <v>38</v>
      </c>
      <c r="D47" s="1" t="s">
        <v>253</v>
      </c>
      <c r="E47" s="1" t="s">
        <v>254</v>
      </c>
      <c r="F47" s="1" t="s">
        <v>262</v>
      </c>
      <c r="G47" s="1" t="s">
        <v>639</v>
      </c>
      <c r="H47" s="1" t="s">
        <v>264</v>
      </c>
      <c r="I47" s="1" t="s">
        <v>258</v>
      </c>
      <c r="J47" s="1" t="s">
        <v>53</v>
      </c>
      <c r="K47" s="5" t="s">
        <v>28</v>
      </c>
      <c r="L47" s="1" t="s">
        <v>265</v>
      </c>
      <c r="M47" s="1" t="s">
        <v>69</v>
      </c>
      <c r="N47" s="1" t="s">
        <v>640</v>
      </c>
      <c r="O47" s="1" t="s">
        <v>267</v>
      </c>
      <c r="P47" s="169"/>
      <c r="Q47" s="1"/>
      <c r="R47" s="5" t="s">
        <v>275</v>
      </c>
      <c r="S47" s="5" t="s">
        <v>34</v>
      </c>
      <c r="T47" s="169">
        <v>0.9</v>
      </c>
      <c r="U47" s="1"/>
      <c r="V47" s="1"/>
      <c r="W47" s="1"/>
      <c r="X47" s="1"/>
      <c r="Y47" s="1">
        <v>365</v>
      </c>
      <c r="Z47" s="1">
        <v>376</v>
      </c>
      <c r="AA47" s="1"/>
      <c r="AB47" s="1"/>
      <c r="AC47" s="1"/>
      <c r="AD47" s="1"/>
      <c r="AE47" s="1">
        <v>326</v>
      </c>
      <c r="AF47" s="1">
        <v>346</v>
      </c>
      <c r="AG47" s="1"/>
      <c r="AH47" s="1"/>
      <c r="AI47" s="1"/>
      <c r="AJ47" s="2"/>
      <c r="AK47" s="1">
        <v>446</v>
      </c>
      <c r="AL47" s="1">
        <v>457</v>
      </c>
      <c r="AM47" s="2"/>
      <c r="AN47" s="2"/>
      <c r="AO47" s="2"/>
      <c r="AP47" s="2"/>
      <c r="AQ47" s="1">
        <v>439</v>
      </c>
      <c r="AR47" s="1">
        <v>452</v>
      </c>
      <c r="AS47" s="83">
        <f t="shared" si="3"/>
        <v>1576</v>
      </c>
      <c r="AT47" s="83">
        <f t="shared" si="4"/>
        <v>1631</v>
      </c>
      <c r="AU47" s="81">
        <f>(AS47/AT47)</f>
        <v>0.9662783568362967</v>
      </c>
      <c r="AV47" s="162">
        <f>(AQ47/AR47)</f>
        <v>0.97123893805309736</v>
      </c>
      <c r="AW47" s="162">
        <f>(AQ47/AR47)</f>
        <v>0.97123893805309736</v>
      </c>
      <c r="AX47" s="172" t="s">
        <v>533</v>
      </c>
      <c r="AY47" s="104" t="s">
        <v>613</v>
      </c>
    </row>
    <row r="48" spans="1:51" s="105" customFormat="1" ht="93.75" customHeight="1" x14ac:dyDescent="0.25">
      <c r="B48" s="106" t="s">
        <v>641</v>
      </c>
      <c r="C48" s="65">
        <f t="shared" si="2"/>
        <v>39</v>
      </c>
      <c r="D48" s="1" t="s">
        <v>253</v>
      </c>
      <c r="E48" s="1" t="s">
        <v>254</v>
      </c>
      <c r="F48" s="1" t="s">
        <v>270</v>
      </c>
      <c r="G48" s="1" t="s">
        <v>271</v>
      </c>
      <c r="H48" s="1" t="s">
        <v>272</v>
      </c>
      <c r="I48" s="1" t="s">
        <v>258</v>
      </c>
      <c r="J48" s="1" t="s">
        <v>27</v>
      </c>
      <c r="K48" s="1" t="s">
        <v>68</v>
      </c>
      <c r="L48" s="1" t="s">
        <v>29</v>
      </c>
      <c r="M48" s="1" t="s">
        <v>69</v>
      </c>
      <c r="N48" s="1" t="s">
        <v>273</v>
      </c>
      <c r="O48" s="1" t="s">
        <v>274</v>
      </c>
      <c r="P48" s="1"/>
      <c r="Q48" s="1"/>
      <c r="R48" s="5" t="s">
        <v>275</v>
      </c>
      <c r="S48" s="5" t="s">
        <v>34</v>
      </c>
      <c r="T48" s="74">
        <v>0.9</v>
      </c>
      <c r="U48" s="1"/>
      <c r="V48" s="1"/>
      <c r="W48" s="1"/>
      <c r="X48" s="1"/>
      <c r="Y48" s="1">
        <v>30</v>
      </c>
      <c r="Z48" s="1">
        <v>30</v>
      </c>
      <c r="AA48" s="2"/>
      <c r="AB48" s="2"/>
      <c r="AC48" s="2"/>
      <c r="AD48" s="2"/>
      <c r="AE48" s="2">
        <v>15</v>
      </c>
      <c r="AF48" s="2">
        <v>19</v>
      </c>
      <c r="AG48" s="2"/>
      <c r="AH48" s="2"/>
      <c r="AI48" s="2"/>
      <c r="AJ48" s="2"/>
      <c r="AK48" s="1">
        <v>18</v>
      </c>
      <c r="AL48" s="1">
        <v>18</v>
      </c>
      <c r="AM48" s="2"/>
      <c r="AN48" s="2"/>
      <c r="AO48" s="2"/>
      <c r="AP48" s="2"/>
      <c r="AQ48" s="5">
        <v>16</v>
      </c>
      <c r="AR48" s="5">
        <v>14</v>
      </c>
      <c r="AS48" s="83">
        <f t="shared" si="3"/>
        <v>79</v>
      </c>
      <c r="AT48" s="83">
        <f t="shared" si="4"/>
        <v>81</v>
      </c>
      <c r="AU48" s="81">
        <f>(AS48/AT48)</f>
        <v>0.97530864197530864</v>
      </c>
      <c r="AV48" s="162">
        <f>(AQ48/AR48)</f>
        <v>1.1428571428571428</v>
      </c>
      <c r="AW48" s="162">
        <f>(AQ48/AR48)</f>
        <v>1.1428571428571428</v>
      </c>
      <c r="AX48" s="172" t="s">
        <v>533</v>
      </c>
      <c r="AY48" s="104" t="s">
        <v>613</v>
      </c>
    </row>
    <row r="49" spans="1:51" s="105" customFormat="1" ht="93.75" customHeight="1" x14ac:dyDescent="0.25">
      <c r="A49" s="4"/>
      <c r="B49" s="106" t="s">
        <v>642</v>
      </c>
      <c r="C49" s="65">
        <f t="shared" si="2"/>
        <v>40</v>
      </c>
      <c r="D49" s="5" t="s">
        <v>277</v>
      </c>
      <c r="E49" s="5" t="s">
        <v>278</v>
      </c>
      <c r="F49" s="5" t="s">
        <v>286</v>
      </c>
      <c r="G49" s="5" t="s">
        <v>287</v>
      </c>
      <c r="H49" s="5" t="s">
        <v>288</v>
      </c>
      <c r="I49" s="5" t="s">
        <v>282</v>
      </c>
      <c r="J49" s="5" t="s">
        <v>53</v>
      </c>
      <c r="K49" s="5" t="s">
        <v>133</v>
      </c>
      <c r="L49" s="5" t="s">
        <v>29</v>
      </c>
      <c r="M49" s="5" t="s">
        <v>30</v>
      </c>
      <c r="N49" s="5" t="s">
        <v>289</v>
      </c>
      <c r="O49" s="5" t="s">
        <v>290</v>
      </c>
      <c r="P49" s="5"/>
      <c r="Q49" s="106"/>
      <c r="R49" s="5" t="s">
        <v>214</v>
      </c>
      <c r="S49" s="5" t="s">
        <v>34</v>
      </c>
      <c r="T49" s="74" t="s">
        <v>291</v>
      </c>
      <c r="U49" s="5">
        <v>18264</v>
      </c>
      <c r="V49" s="5">
        <v>558896</v>
      </c>
      <c r="W49" s="5">
        <v>54786</v>
      </c>
      <c r="X49" s="5">
        <v>565470</v>
      </c>
      <c r="Y49" s="5">
        <v>48879</v>
      </c>
      <c r="Z49" s="4">
        <v>643637</v>
      </c>
      <c r="AA49" s="5">
        <v>41120</v>
      </c>
      <c r="AB49" s="4">
        <v>672820</v>
      </c>
      <c r="AC49" s="5">
        <v>44164</v>
      </c>
      <c r="AD49" s="5">
        <v>718465</v>
      </c>
      <c r="AE49" s="5">
        <v>41656</v>
      </c>
      <c r="AF49" s="5">
        <v>662232</v>
      </c>
      <c r="AG49" s="5">
        <v>46430</v>
      </c>
      <c r="AH49" s="5">
        <v>763540</v>
      </c>
      <c r="AI49" s="5">
        <v>53421</v>
      </c>
      <c r="AJ49" s="5">
        <v>772051</v>
      </c>
      <c r="AK49" s="5">
        <v>49247</v>
      </c>
      <c r="AL49" s="5">
        <v>656032</v>
      </c>
      <c r="AM49" s="5">
        <v>48667</v>
      </c>
      <c r="AN49" s="5">
        <v>673324</v>
      </c>
      <c r="AO49" s="5">
        <v>52350</v>
      </c>
      <c r="AP49" s="4">
        <v>685723</v>
      </c>
      <c r="AQ49" s="5">
        <v>59874</v>
      </c>
      <c r="AR49" s="5">
        <v>777597</v>
      </c>
      <c r="AS49" s="83">
        <f t="shared" si="3"/>
        <v>558858</v>
      </c>
      <c r="AT49" s="83">
        <f t="shared" si="4"/>
        <v>8149787</v>
      </c>
      <c r="AU49" s="81">
        <f>AS49/AT49</f>
        <v>6.8573325904100313E-2</v>
      </c>
      <c r="AV49" s="162">
        <f>(AM49+AO49+AQ49)/(AN49+AP49+AR49)</f>
        <v>7.5300798822826823E-2</v>
      </c>
      <c r="AW49" s="162">
        <f>AQ49/AR49</f>
        <v>7.6998753853217028E-2</v>
      </c>
      <c r="AX49" s="172" t="s">
        <v>533</v>
      </c>
      <c r="AY49" s="190" t="s">
        <v>643</v>
      </c>
    </row>
    <row r="50" spans="1:51" s="105" customFormat="1" ht="93.75" customHeight="1" x14ac:dyDescent="0.25">
      <c r="A50" s="4"/>
      <c r="B50" s="106" t="s">
        <v>644</v>
      </c>
      <c r="C50" s="65">
        <f t="shared" si="2"/>
        <v>41</v>
      </c>
      <c r="D50" s="5" t="s">
        <v>277</v>
      </c>
      <c r="E50" s="5" t="s">
        <v>278</v>
      </c>
      <c r="F50" s="5" t="s">
        <v>293</v>
      </c>
      <c r="G50" s="5" t="s">
        <v>294</v>
      </c>
      <c r="H50" s="5" t="s">
        <v>295</v>
      </c>
      <c r="I50" s="5" t="s">
        <v>282</v>
      </c>
      <c r="J50" s="5" t="s">
        <v>53</v>
      </c>
      <c r="K50" s="5" t="s">
        <v>28</v>
      </c>
      <c r="L50" s="5" t="s">
        <v>29</v>
      </c>
      <c r="M50" s="5" t="s">
        <v>30</v>
      </c>
      <c r="N50" s="5" t="s">
        <v>296</v>
      </c>
      <c r="O50" s="5" t="s">
        <v>297</v>
      </c>
      <c r="P50" s="5"/>
      <c r="Q50" s="5"/>
      <c r="R50" s="5" t="s">
        <v>214</v>
      </c>
      <c r="S50" s="5" t="s">
        <v>34</v>
      </c>
      <c r="T50" s="74">
        <v>0.9</v>
      </c>
      <c r="U50" s="5">
        <v>414831</v>
      </c>
      <c r="V50" s="5">
        <v>480713</v>
      </c>
      <c r="W50" s="5">
        <v>475655</v>
      </c>
      <c r="X50" s="5">
        <v>490999</v>
      </c>
      <c r="Y50" s="181">
        <v>587675</v>
      </c>
      <c r="Z50" s="83">
        <v>590783</v>
      </c>
      <c r="AA50" s="5">
        <v>583464</v>
      </c>
      <c r="AB50" s="5">
        <v>624584</v>
      </c>
      <c r="AC50" s="83">
        <v>669335</v>
      </c>
      <c r="AD50" s="5">
        <v>674291</v>
      </c>
      <c r="AE50" s="5">
        <v>617587</v>
      </c>
      <c r="AF50" s="5">
        <v>620575</v>
      </c>
      <c r="AG50" s="5">
        <v>713776</v>
      </c>
      <c r="AH50" s="5">
        <v>717106</v>
      </c>
      <c r="AI50" s="5">
        <v>709137</v>
      </c>
      <c r="AJ50" s="83">
        <v>718630.49300000002</v>
      </c>
      <c r="AK50" s="5">
        <v>656032</v>
      </c>
      <c r="AL50" s="5">
        <f>AK50-4561</f>
        <v>651471</v>
      </c>
      <c r="AM50" s="5">
        <v>673324</v>
      </c>
      <c r="AN50" s="5">
        <f>AM50-2738</f>
        <v>670586</v>
      </c>
      <c r="AO50" s="5">
        <f>AP50-3984</f>
        <v>629389</v>
      </c>
      <c r="AP50" s="5">
        <v>633373</v>
      </c>
      <c r="AQ50" s="5">
        <f>AR50-6799</f>
        <v>710924</v>
      </c>
      <c r="AR50" s="5">
        <v>717723</v>
      </c>
      <c r="AS50" s="83">
        <f t="shared" si="3"/>
        <v>7441129</v>
      </c>
      <c r="AT50" s="83">
        <f t="shared" si="4"/>
        <v>7590834.4929999998</v>
      </c>
      <c r="AU50" s="81">
        <f>AS50/AT50</f>
        <v>0.9802781244752401</v>
      </c>
      <c r="AV50" s="162">
        <f>(AM50+AO50+AQ50)/(AN50+AP50+AR50)</f>
        <v>0.99602064023916714</v>
      </c>
      <c r="AW50" s="162">
        <f>AQ50/AR50</f>
        <v>0.99052698603778899</v>
      </c>
      <c r="AX50" s="172" t="s">
        <v>533</v>
      </c>
      <c r="AY50" s="190" t="s">
        <v>643</v>
      </c>
    </row>
    <row r="51" spans="1:51" s="105" customFormat="1" ht="108" customHeight="1" x14ac:dyDescent="0.25">
      <c r="A51" s="4"/>
      <c r="B51" s="106" t="s">
        <v>645</v>
      </c>
      <c r="C51" s="65">
        <f t="shared" si="2"/>
        <v>42</v>
      </c>
      <c r="D51" s="5" t="s">
        <v>277</v>
      </c>
      <c r="E51" s="5" t="s">
        <v>278</v>
      </c>
      <c r="F51" s="5" t="s">
        <v>286</v>
      </c>
      <c r="G51" s="5" t="s">
        <v>646</v>
      </c>
      <c r="H51" s="5" t="s">
        <v>647</v>
      </c>
      <c r="I51" s="5" t="s">
        <v>282</v>
      </c>
      <c r="J51" s="5" t="s">
        <v>590</v>
      </c>
      <c r="K51" s="5"/>
      <c r="L51" s="5" t="s">
        <v>648</v>
      </c>
      <c r="M51" s="5" t="s">
        <v>69</v>
      </c>
      <c r="N51" s="5" t="s">
        <v>649</v>
      </c>
      <c r="O51" s="5" t="s">
        <v>650</v>
      </c>
      <c r="P51" s="5"/>
      <c r="Q51" s="5"/>
      <c r="R51" s="5" t="s">
        <v>651</v>
      </c>
      <c r="S51" s="5" t="s">
        <v>34</v>
      </c>
      <c r="T51" s="74">
        <v>0.8</v>
      </c>
      <c r="U51" s="5"/>
      <c r="V51" s="5"/>
      <c r="W51" s="5"/>
      <c r="X51" s="5"/>
      <c r="Y51" s="5"/>
      <c r="Z51" s="5"/>
      <c r="AA51" s="5"/>
      <c r="AB51" s="5"/>
      <c r="AC51" s="5"/>
      <c r="AD51" s="5"/>
      <c r="AE51" s="5"/>
      <c r="AF51" s="5"/>
      <c r="AG51" s="5"/>
      <c r="AH51" s="5"/>
      <c r="AI51" s="5"/>
      <c r="AJ51" s="5"/>
      <c r="AK51" s="5"/>
      <c r="AL51" s="5"/>
      <c r="AM51" s="5"/>
      <c r="AN51" s="5"/>
      <c r="AO51" s="5"/>
      <c r="AP51" s="5"/>
      <c r="AQ51" s="5">
        <v>10711</v>
      </c>
      <c r="AR51" s="5">
        <v>13249</v>
      </c>
      <c r="AS51" s="83">
        <f t="shared" ref="AS51" si="9">U51+W51+Y51+AA51+AC51+AE51+AG51+AI51+AK51+AM51+AO51+AQ51</f>
        <v>10711</v>
      </c>
      <c r="AT51" s="83">
        <f t="shared" ref="AT51" si="10">V51+X51+Z51+AB51+AD51+AF51+AH51+AJ51+AL51+AN51+AP51+AR51</f>
        <v>13249</v>
      </c>
      <c r="AU51" s="81">
        <f>AS51/AT51</f>
        <v>0.80843837270737418</v>
      </c>
      <c r="AV51" s="162">
        <f>(AM51+AO51+AQ51)/(AN51+AP51+AR51)</f>
        <v>0.80843837270737418</v>
      </c>
      <c r="AW51" s="162">
        <f>AQ51/AR51</f>
        <v>0.80843837270737418</v>
      </c>
      <c r="AX51" s="172" t="s">
        <v>533</v>
      </c>
      <c r="AY51" s="104" t="s">
        <v>613</v>
      </c>
    </row>
    <row r="52" spans="1:51" s="105" customFormat="1" ht="112.5" customHeight="1" x14ac:dyDescent="0.25">
      <c r="B52" s="106" t="s">
        <v>652</v>
      </c>
      <c r="C52" s="65">
        <f t="shared" si="2"/>
        <v>43</v>
      </c>
      <c r="D52" s="1" t="s">
        <v>299</v>
      </c>
      <c r="E52" s="1" t="s">
        <v>300</v>
      </c>
      <c r="F52" s="1" t="s">
        <v>301</v>
      </c>
      <c r="G52" s="1" t="s">
        <v>302</v>
      </c>
      <c r="H52" s="1" t="s">
        <v>303</v>
      </c>
      <c r="I52" s="1" t="s">
        <v>304</v>
      </c>
      <c r="J52" s="1" t="s">
        <v>27</v>
      </c>
      <c r="K52" s="5" t="s">
        <v>28</v>
      </c>
      <c r="L52" s="1" t="s">
        <v>29</v>
      </c>
      <c r="M52" s="1" t="s">
        <v>69</v>
      </c>
      <c r="N52" s="1" t="s">
        <v>305</v>
      </c>
      <c r="O52" s="1" t="s">
        <v>306</v>
      </c>
      <c r="P52" s="1"/>
      <c r="Q52" s="1"/>
      <c r="R52" s="5" t="s">
        <v>214</v>
      </c>
      <c r="S52" s="5" t="s">
        <v>34</v>
      </c>
      <c r="T52" s="74">
        <v>1</v>
      </c>
      <c r="U52" s="1"/>
      <c r="V52" s="1"/>
      <c r="W52" s="1"/>
      <c r="X52" s="1"/>
      <c r="Y52" s="1">
        <v>10</v>
      </c>
      <c r="Z52" s="1">
        <v>10</v>
      </c>
      <c r="AA52" s="2"/>
      <c r="AB52" s="2"/>
      <c r="AC52" s="2"/>
      <c r="AD52" s="2"/>
      <c r="AE52" s="5">
        <v>18</v>
      </c>
      <c r="AF52" s="5">
        <v>18</v>
      </c>
      <c r="AG52" s="2"/>
      <c r="AH52" s="2"/>
      <c r="AI52" s="2"/>
      <c r="AJ52" s="2"/>
      <c r="AK52" s="2">
        <v>16</v>
      </c>
      <c r="AL52" s="2">
        <v>16</v>
      </c>
      <c r="AM52" s="2"/>
      <c r="AN52" s="2"/>
      <c r="AO52" s="2"/>
      <c r="AP52" s="2"/>
      <c r="AQ52" s="2">
        <v>14</v>
      </c>
      <c r="AR52" s="2">
        <v>14</v>
      </c>
      <c r="AS52" s="83">
        <f>U52+W52+Y52+AA52+AC52+AE52+AG52+AI52+AK53+AM52+AO52+AQ52</f>
        <v>45</v>
      </c>
      <c r="AT52" s="83">
        <f>V52+X52+Z52+AB52+AD52+AF52+AH52+AJ52+AL53+AN52+AP52+AR52</f>
        <v>45</v>
      </c>
      <c r="AU52" s="81">
        <f>(AS52/AT52)</f>
        <v>1</v>
      </c>
      <c r="AV52" s="162">
        <f>AQ52/AR52</f>
        <v>1</v>
      </c>
      <c r="AW52" s="81">
        <f>AV52</f>
        <v>1</v>
      </c>
      <c r="AX52" s="172" t="s">
        <v>533</v>
      </c>
      <c r="AY52" s="104" t="s">
        <v>653</v>
      </c>
    </row>
    <row r="53" spans="1:51" s="4" customFormat="1" ht="76.5" x14ac:dyDescent="0.25">
      <c r="A53" s="105"/>
      <c r="B53" s="106" t="s">
        <v>654</v>
      </c>
      <c r="C53" s="65">
        <f t="shared" si="2"/>
        <v>44</v>
      </c>
      <c r="D53" s="1" t="s">
        <v>299</v>
      </c>
      <c r="E53" s="1" t="s">
        <v>300</v>
      </c>
      <c r="F53" s="1" t="s">
        <v>307</v>
      </c>
      <c r="G53" s="1" t="s">
        <v>308</v>
      </c>
      <c r="H53" s="1" t="s">
        <v>309</v>
      </c>
      <c r="I53" s="1" t="s">
        <v>304</v>
      </c>
      <c r="J53" s="1" t="s">
        <v>27</v>
      </c>
      <c r="K53" s="5" t="s">
        <v>28</v>
      </c>
      <c r="L53" s="1" t="s">
        <v>29</v>
      </c>
      <c r="M53" s="1" t="s">
        <v>69</v>
      </c>
      <c r="N53" s="1" t="s">
        <v>310</v>
      </c>
      <c r="O53" s="1" t="s">
        <v>311</v>
      </c>
      <c r="P53" s="1"/>
      <c r="Q53" s="1"/>
      <c r="R53" s="5" t="s">
        <v>214</v>
      </c>
      <c r="S53" s="5" t="s">
        <v>34</v>
      </c>
      <c r="T53" s="74">
        <v>1</v>
      </c>
      <c r="U53" s="1"/>
      <c r="V53" s="1"/>
      <c r="W53" s="1"/>
      <c r="X53" s="1"/>
      <c r="Y53" s="1">
        <v>3</v>
      </c>
      <c r="Z53" s="1">
        <v>3</v>
      </c>
      <c r="AA53" s="2"/>
      <c r="AB53" s="2"/>
      <c r="AC53" s="2"/>
      <c r="AD53" s="2"/>
      <c r="AE53" s="5">
        <v>3</v>
      </c>
      <c r="AF53" s="5">
        <v>3</v>
      </c>
      <c r="AG53" s="2"/>
      <c r="AH53" s="2"/>
      <c r="AI53" s="2"/>
      <c r="AJ53" s="2"/>
      <c r="AK53" s="5">
        <v>3</v>
      </c>
      <c r="AL53" s="5">
        <v>3</v>
      </c>
      <c r="AM53" s="2"/>
      <c r="AN53" s="2"/>
      <c r="AO53" s="2"/>
      <c r="AP53" s="2"/>
      <c r="AQ53" s="2">
        <v>3</v>
      </c>
      <c r="AR53" s="2">
        <v>3</v>
      </c>
      <c r="AS53" s="83">
        <f>U53+W53+Y53+AA53+AC53+AE53+AG53+AI53+AK54+AM53+AO53+AQ53</f>
        <v>4800</v>
      </c>
      <c r="AT53" s="83">
        <f>V53+X53+Z53+AB53+AD53+AF53+AH53+AJ53+AL54+AN53+AP53+AR53</f>
        <v>4806</v>
      </c>
      <c r="AU53" s="81">
        <f>(AS53/AT53)</f>
        <v>0.99875156054931336</v>
      </c>
      <c r="AV53" s="162">
        <f>AQ53/AR53</f>
        <v>1</v>
      </c>
      <c r="AW53" s="81">
        <f>AV53</f>
        <v>1</v>
      </c>
      <c r="AX53" s="172" t="s">
        <v>533</v>
      </c>
      <c r="AY53" s="104" t="s">
        <v>613</v>
      </c>
    </row>
    <row r="54" spans="1:51" s="105" customFormat="1" ht="103.5" customHeight="1" x14ac:dyDescent="0.25">
      <c r="B54" s="106" t="s">
        <v>655</v>
      </c>
      <c r="C54" s="65">
        <f t="shared" si="2"/>
        <v>45</v>
      </c>
      <c r="D54" s="1" t="s">
        <v>299</v>
      </c>
      <c r="E54" s="1" t="s">
        <v>300</v>
      </c>
      <c r="F54" s="1" t="s">
        <v>312</v>
      </c>
      <c r="G54" s="1" t="s">
        <v>313</v>
      </c>
      <c r="H54" s="1" t="s">
        <v>314</v>
      </c>
      <c r="I54" s="1" t="s">
        <v>304</v>
      </c>
      <c r="J54" s="1" t="s">
        <v>53</v>
      </c>
      <c r="K54" s="5" t="s">
        <v>28</v>
      </c>
      <c r="L54" s="1" t="s">
        <v>29</v>
      </c>
      <c r="M54" s="1" t="s">
        <v>69</v>
      </c>
      <c r="N54" s="1" t="s">
        <v>315</v>
      </c>
      <c r="O54" s="1" t="s">
        <v>316</v>
      </c>
      <c r="P54" s="1"/>
      <c r="Q54" s="1"/>
      <c r="R54" s="5" t="s">
        <v>214</v>
      </c>
      <c r="S54" s="5" t="s">
        <v>34</v>
      </c>
      <c r="T54" s="74">
        <v>0.85</v>
      </c>
      <c r="U54" s="1"/>
      <c r="V54" s="1"/>
      <c r="W54" s="1"/>
      <c r="X54" s="1"/>
      <c r="Y54" s="1">
        <v>4737</v>
      </c>
      <c r="Z54" s="1">
        <v>4766</v>
      </c>
      <c r="AA54" s="2"/>
      <c r="AB54" s="2"/>
      <c r="AC54" s="2"/>
      <c r="AD54" s="187"/>
      <c r="AE54" s="2">
        <v>4993</v>
      </c>
      <c r="AF54" s="2">
        <v>4997</v>
      </c>
      <c r="AG54" s="2"/>
      <c r="AH54" s="2"/>
      <c r="AI54" s="2"/>
      <c r="AJ54" s="2"/>
      <c r="AK54" s="5">
        <v>4791</v>
      </c>
      <c r="AL54" s="5">
        <v>4797</v>
      </c>
      <c r="AM54" s="2"/>
      <c r="AN54" s="2"/>
      <c r="AO54" s="2"/>
      <c r="AP54" s="2"/>
      <c r="AQ54" s="5">
        <v>5324</v>
      </c>
      <c r="AR54" s="5">
        <v>5340</v>
      </c>
      <c r="AS54" s="83">
        <f>U54+W54+Y54+AA54+AC54+AE54+AG54+AI54+AK54+AM54+AO54+AQ54</f>
        <v>19845</v>
      </c>
      <c r="AT54" s="83">
        <f>V54+X54+Z54+AB54+AD54+AF54+AH54+AJ54+AL54+AN54+AP54+AR54</f>
        <v>19900</v>
      </c>
      <c r="AU54" s="161">
        <f>(AS54/AT54)</f>
        <v>0.9972361809045226</v>
      </c>
      <c r="AV54" s="162">
        <f>AQ54/AR54</f>
        <v>0.99700374531835201</v>
      </c>
      <c r="AW54" s="81">
        <f>AV54</f>
        <v>0.99700374531835201</v>
      </c>
      <c r="AX54" s="172" t="s">
        <v>533</v>
      </c>
      <c r="AY54" s="104" t="s">
        <v>613</v>
      </c>
    </row>
    <row r="55" spans="1:51" ht="27.75" hidden="1" customHeight="1" x14ac:dyDescent="0.25">
      <c r="B55" s="106"/>
      <c r="C55" s="65">
        <f t="shared" si="2"/>
        <v>46</v>
      </c>
      <c r="D55" s="2" t="s">
        <v>322</v>
      </c>
      <c r="E55" s="6" t="s">
        <v>323</v>
      </c>
      <c r="F55" s="2" t="s">
        <v>324</v>
      </c>
      <c r="G55" s="6" t="s">
        <v>325</v>
      </c>
      <c r="H55" s="6" t="s">
        <v>326</v>
      </c>
      <c r="I55" s="2" t="s">
        <v>327</v>
      </c>
      <c r="J55" s="2" t="s">
        <v>27</v>
      </c>
      <c r="K55" s="2" t="s">
        <v>39</v>
      </c>
      <c r="L55" s="2" t="s">
        <v>29</v>
      </c>
      <c r="M55" s="2" t="s">
        <v>143</v>
      </c>
      <c r="N55" s="6" t="s">
        <v>328</v>
      </c>
      <c r="O55" s="6" t="s">
        <v>329</v>
      </c>
      <c r="P55" s="2"/>
      <c r="Q55" s="2"/>
      <c r="R55" s="5" t="s">
        <v>214</v>
      </c>
      <c r="S55" s="5" t="s">
        <v>86</v>
      </c>
      <c r="T55" s="5"/>
      <c r="U55" s="2"/>
      <c r="V55" s="2"/>
      <c r="W55" s="2"/>
      <c r="X55" s="2"/>
      <c r="Y55" s="2"/>
      <c r="Z55" s="2"/>
      <c r="AA55" s="2"/>
      <c r="AB55" s="2"/>
      <c r="AC55" s="2"/>
      <c r="AD55" s="2"/>
      <c r="AE55" s="2"/>
      <c r="AF55" s="2"/>
      <c r="AG55" s="2"/>
      <c r="AH55" s="2"/>
      <c r="AI55" s="2"/>
      <c r="AJ55" s="2"/>
      <c r="AK55" s="2"/>
      <c r="AL55" s="2"/>
      <c r="AM55" s="2"/>
      <c r="AN55" s="2"/>
      <c r="AO55" s="2"/>
      <c r="AP55" s="2"/>
      <c r="AQ55" s="2"/>
      <c r="AR55" s="2"/>
      <c r="AS55" s="83"/>
      <c r="AT55" s="83"/>
      <c r="AU55" s="83"/>
      <c r="AV55" s="83"/>
      <c r="AW55" s="83"/>
      <c r="AX55" s="81"/>
      <c r="AY55" s="60"/>
    </row>
    <row r="56" spans="1:51" s="105" customFormat="1" ht="98.25" customHeight="1" x14ac:dyDescent="0.25">
      <c r="B56" s="106" t="s">
        <v>656</v>
      </c>
      <c r="C56" s="65">
        <f t="shared" si="2"/>
        <v>47</v>
      </c>
      <c r="D56" s="1" t="s">
        <v>299</v>
      </c>
      <c r="E56" s="1" t="s">
        <v>300</v>
      </c>
      <c r="F56" s="1" t="s">
        <v>312</v>
      </c>
      <c r="G56" s="1" t="s">
        <v>318</v>
      </c>
      <c r="H56" s="1" t="s">
        <v>319</v>
      </c>
      <c r="I56" s="1" t="s">
        <v>304</v>
      </c>
      <c r="J56" s="1" t="s">
        <v>53</v>
      </c>
      <c r="K56" s="5" t="s">
        <v>28</v>
      </c>
      <c r="L56" s="1" t="s">
        <v>29</v>
      </c>
      <c r="M56" s="1" t="s">
        <v>69</v>
      </c>
      <c r="N56" s="1" t="s">
        <v>320</v>
      </c>
      <c r="O56" s="1" t="s">
        <v>321</v>
      </c>
      <c r="P56" s="1"/>
      <c r="Q56" s="1"/>
      <c r="R56" s="5" t="s">
        <v>214</v>
      </c>
      <c r="S56" s="5" t="s">
        <v>34</v>
      </c>
      <c r="T56" s="74">
        <v>0.85</v>
      </c>
      <c r="U56" s="1"/>
      <c r="V56" s="1"/>
      <c r="W56" s="1"/>
      <c r="X56" s="1"/>
      <c r="Y56" s="1">
        <v>1083</v>
      </c>
      <c r="Z56" s="1">
        <v>1083</v>
      </c>
      <c r="AA56" s="2"/>
      <c r="AB56" s="2"/>
      <c r="AC56" s="2"/>
      <c r="AD56" s="2"/>
      <c r="AE56" s="2">
        <v>286</v>
      </c>
      <c r="AF56" s="2">
        <v>286</v>
      </c>
      <c r="AG56" s="2"/>
      <c r="AH56" s="2"/>
      <c r="AI56" s="2"/>
      <c r="AJ56" s="2"/>
      <c r="AK56" s="83">
        <v>398</v>
      </c>
      <c r="AL56" s="83">
        <v>398</v>
      </c>
      <c r="AM56" s="2"/>
      <c r="AN56" s="2"/>
      <c r="AO56" s="2"/>
      <c r="AP56" s="2"/>
      <c r="AQ56" s="2">
        <v>522</v>
      </c>
      <c r="AR56" s="2">
        <v>522</v>
      </c>
      <c r="AS56" s="83">
        <f t="shared" ref="AS56:AT62" si="11">U56+W56+Y56+AA56+AC56+AE56+AG56+AI56+AK56+AM56+AO56+AQ56</f>
        <v>2289</v>
      </c>
      <c r="AT56" s="83">
        <f t="shared" si="11"/>
        <v>2289</v>
      </c>
      <c r="AU56" s="81">
        <f>(AS56/AT56)</f>
        <v>1</v>
      </c>
      <c r="AV56" s="162">
        <f t="shared" ref="AV56:AV62" si="12">AQ56/AR56</f>
        <v>1</v>
      </c>
      <c r="AW56" s="81">
        <f t="shared" ref="AW56:AW62" si="13">AV56</f>
        <v>1</v>
      </c>
      <c r="AX56" s="172" t="s">
        <v>533</v>
      </c>
      <c r="AY56" s="104" t="s">
        <v>613</v>
      </c>
    </row>
    <row r="57" spans="1:51" s="105" customFormat="1" ht="98.25" customHeight="1" x14ac:dyDescent="0.25">
      <c r="B57" s="106" t="s">
        <v>657</v>
      </c>
      <c r="C57" s="65">
        <f>C55+1</f>
        <v>47</v>
      </c>
      <c r="D57" s="1" t="s">
        <v>299</v>
      </c>
      <c r="E57" s="1" t="s">
        <v>300</v>
      </c>
      <c r="F57" s="1" t="s">
        <v>312</v>
      </c>
      <c r="G57" s="1" t="s">
        <v>330</v>
      </c>
      <c r="H57" s="1" t="s">
        <v>331</v>
      </c>
      <c r="I57" s="1" t="s">
        <v>304</v>
      </c>
      <c r="J57" s="1" t="s">
        <v>53</v>
      </c>
      <c r="K57" s="5" t="s">
        <v>28</v>
      </c>
      <c r="L57" s="1" t="s">
        <v>29</v>
      </c>
      <c r="M57" s="1" t="s">
        <v>69</v>
      </c>
      <c r="N57" s="1" t="s">
        <v>332</v>
      </c>
      <c r="O57" s="1" t="s">
        <v>333</v>
      </c>
      <c r="P57" s="1"/>
      <c r="Q57" s="106"/>
      <c r="R57" s="5" t="s">
        <v>214</v>
      </c>
      <c r="S57" s="5" t="s">
        <v>34</v>
      </c>
      <c r="T57" s="74">
        <v>0.85</v>
      </c>
      <c r="U57" s="1"/>
      <c r="V57" s="1"/>
      <c r="W57" s="1"/>
      <c r="X57" s="1"/>
      <c r="Y57" s="1">
        <v>1804</v>
      </c>
      <c r="Z57" s="1">
        <v>1804</v>
      </c>
      <c r="AA57" s="2"/>
      <c r="AB57" s="2"/>
      <c r="AC57" s="2"/>
      <c r="AD57" s="2"/>
      <c r="AE57" s="2">
        <v>416</v>
      </c>
      <c r="AF57" s="2">
        <v>416</v>
      </c>
      <c r="AG57" s="2"/>
      <c r="AH57" s="2"/>
      <c r="AI57" s="2"/>
      <c r="AJ57" s="2"/>
      <c r="AK57" s="83">
        <v>1022</v>
      </c>
      <c r="AL57" s="83">
        <v>1022</v>
      </c>
      <c r="AM57" s="2"/>
      <c r="AN57" s="2"/>
      <c r="AO57" s="2"/>
      <c r="AP57" s="2"/>
      <c r="AQ57" s="2">
        <v>1188</v>
      </c>
      <c r="AR57" s="2">
        <v>1188</v>
      </c>
      <c r="AS57" s="83">
        <f t="shared" si="11"/>
        <v>4430</v>
      </c>
      <c r="AT57" s="83">
        <f t="shared" si="11"/>
        <v>4430</v>
      </c>
      <c r="AU57" s="81">
        <f>(AS57/AT57)</f>
        <v>1</v>
      </c>
      <c r="AV57" s="162">
        <f t="shared" si="12"/>
        <v>1</v>
      </c>
      <c r="AW57" s="81">
        <f t="shared" si="13"/>
        <v>1</v>
      </c>
      <c r="AX57" s="172" t="s">
        <v>533</v>
      </c>
      <c r="AY57" s="104" t="s">
        <v>613</v>
      </c>
    </row>
    <row r="58" spans="1:51" s="105" customFormat="1" ht="98.25" customHeight="1" x14ac:dyDescent="0.25">
      <c r="B58" s="106" t="s">
        <v>658</v>
      </c>
      <c r="C58" s="65">
        <f>C57+1</f>
        <v>48</v>
      </c>
      <c r="D58" s="1" t="s">
        <v>334</v>
      </c>
      <c r="E58" s="1" t="s">
        <v>335</v>
      </c>
      <c r="F58" s="1" t="s">
        <v>336</v>
      </c>
      <c r="G58" s="1" t="s">
        <v>337</v>
      </c>
      <c r="H58" s="1" t="s">
        <v>338</v>
      </c>
      <c r="I58" s="1" t="s">
        <v>339</v>
      </c>
      <c r="J58" s="1" t="s">
        <v>27</v>
      </c>
      <c r="K58" s="5" t="s">
        <v>28</v>
      </c>
      <c r="L58" s="1" t="s">
        <v>29</v>
      </c>
      <c r="M58" s="1" t="s">
        <v>143</v>
      </c>
      <c r="N58" s="1" t="s">
        <v>340</v>
      </c>
      <c r="O58" s="1" t="s">
        <v>341</v>
      </c>
      <c r="P58" s="1"/>
      <c r="Q58" s="1"/>
      <c r="R58" s="5" t="s">
        <v>342</v>
      </c>
      <c r="S58" s="5" t="s">
        <v>34</v>
      </c>
      <c r="T58" s="74">
        <v>0.92</v>
      </c>
      <c r="U58" s="1"/>
      <c r="V58" s="1"/>
      <c r="W58" s="1"/>
      <c r="X58" s="1"/>
      <c r="Y58" s="1"/>
      <c r="Z58" s="1"/>
      <c r="AA58" s="2"/>
      <c r="AB58" s="2"/>
      <c r="AC58" s="2"/>
      <c r="AD58" s="2"/>
      <c r="AE58" s="2">
        <v>2065</v>
      </c>
      <c r="AF58" s="2">
        <v>2236</v>
      </c>
      <c r="AG58" s="2"/>
      <c r="AH58" s="2"/>
      <c r="AI58" s="2"/>
      <c r="AJ58" s="2"/>
      <c r="AK58" s="2"/>
      <c r="AL58" s="2"/>
      <c r="AM58" s="2"/>
      <c r="AN58" s="2"/>
      <c r="AO58" s="2"/>
      <c r="AP58" s="2"/>
      <c r="AQ58" s="2">
        <v>1996</v>
      </c>
      <c r="AR58" s="2">
        <v>2060</v>
      </c>
      <c r="AS58" s="83">
        <f t="shared" si="11"/>
        <v>4061</v>
      </c>
      <c r="AT58" s="83">
        <f t="shared" si="11"/>
        <v>4296</v>
      </c>
      <c r="AU58" s="81">
        <f>AS58/AT58</f>
        <v>0.94529795158286778</v>
      </c>
      <c r="AV58" s="162">
        <f t="shared" si="12"/>
        <v>0.96893203883495149</v>
      </c>
      <c r="AW58" s="162">
        <f t="shared" si="13"/>
        <v>0.96893203883495149</v>
      </c>
      <c r="AX58" s="172" t="s">
        <v>533</v>
      </c>
      <c r="AY58" s="104" t="s">
        <v>613</v>
      </c>
    </row>
    <row r="59" spans="1:51" s="105" customFormat="1" ht="98.25" customHeight="1" x14ac:dyDescent="0.25">
      <c r="B59" s="106" t="s">
        <v>659</v>
      </c>
      <c r="C59" s="65">
        <f>C58+1</f>
        <v>49</v>
      </c>
      <c r="D59" s="1" t="s">
        <v>334</v>
      </c>
      <c r="E59" s="1" t="s">
        <v>335</v>
      </c>
      <c r="F59" s="1" t="s">
        <v>336</v>
      </c>
      <c r="G59" s="1" t="s">
        <v>371</v>
      </c>
      <c r="H59" s="1" t="s">
        <v>372</v>
      </c>
      <c r="I59" s="1" t="s">
        <v>339</v>
      </c>
      <c r="J59" s="1" t="s">
        <v>46</v>
      </c>
      <c r="K59" s="5" t="s">
        <v>28</v>
      </c>
      <c r="L59" s="1" t="s">
        <v>29</v>
      </c>
      <c r="M59" s="1" t="s">
        <v>69</v>
      </c>
      <c r="N59" s="1" t="s">
        <v>365</v>
      </c>
      <c r="O59" s="1" t="s">
        <v>366</v>
      </c>
      <c r="P59" s="1"/>
      <c r="Q59" s="1"/>
      <c r="R59" s="5" t="s">
        <v>214</v>
      </c>
      <c r="S59" s="5" t="s">
        <v>34</v>
      </c>
      <c r="T59" s="74">
        <v>0.9</v>
      </c>
      <c r="U59" s="1"/>
      <c r="V59" s="1"/>
      <c r="W59" s="1"/>
      <c r="X59" s="1"/>
      <c r="Y59" s="1">
        <v>83</v>
      </c>
      <c r="Z59" s="1">
        <v>84</v>
      </c>
      <c r="AA59" s="2"/>
      <c r="AB59" s="2"/>
      <c r="AC59" s="2"/>
      <c r="AD59" s="2"/>
      <c r="AE59" s="2">
        <v>116</v>
      </c>
      <c r="AF59" s="2">
        <v>120</v>
      </c>
      <c r="AG59" s="2"/>
      <c r="AH59" s="2"/>
      <c r="AI59" s="2"/>
      <c r="AJ59" s="2"/>
      <c r="AK59" s="2">
        <v>270</v>
      </c>
      <c r="AL59" s="2">
        <v>276</v>
      </c>
      <c r="AM59" s="2"/>
      <c r="AN59" s="2"/>
      <c r="AO59" s="2"/>
      <c r="AP59" s="2"/>
      <c r="AQ59" s="2">
        <v>496</v>
      </c>
      <c r="AR59" s="2">
        <v>504</v>
      </c>
      <c r="AS59" s="83">
        <f t="shared" si="11"/>
        <v>965</v>
      </c>
      <c r="AT59" s="83">
        <f t="shared" si="11"/>
        <v>984</v>
      </c>
      <c r="AU59" s="81">
        <f>AS59/AT59</f>
        <v>0.98069105691056913</v>
      </c>
      <c r="AV59" s="162">
        <f t="shared" si="12"/>
        <v>0.98412698412698407</v>
      </c>
      <c r="AW59" s="162">
        <f t="shared" si="13"/>
        <v>0.98412698412698407</v>
      </c>
      <c r="AX59" s="172" t="s">
        <v>533</v>
      </c>
      <c r="AY59" s="104" t="s">
        <v>613</v>
      </c>
    </row>
    <row r="60" spans="1:51" s="105" customFormat="1" ht="98.25" customHeight="1" x14ac:dyDescent="0.25">
      <c r="B60" s="106" t="s">
        <v>660</v>
      </c>
      <c r="C60" s="65">
        <f>C58+1</f>
        <v>49</v>
      </c>
      <c r="D60" s="1" t="s">
        <v>334</v>
      </c>
      <c r="E60" s="1" t="s">
        <v>335</v>
      </c>
      <c r="F60" s="1" t="s">
        <v>336</v>
      </c>
      <c r="G60" s="1" t="s">
        <v>374</v>
      </c>
      <c r="H60" s="1" t="s">
        <v>375</v>
      </c>
      <c r="I60" s="1" t="s">
        <v>339</v>
      </c>
      <c r="J60" s="1" t="s">
        <v>46</v>
      </c>
      <c r="K60" s="5" t="s">
        <v>28</v>
      </c>
      <c r="L60" s="1" t="s">
        <v>29</v>
      </c>
      <c r="M60" s="1" t="s">
        <v>69</v>
      </c>
      <c r="N60" s="1" t="s">
        <v>365</v>
      </c>
      <c r="O60" s="1" t="s">
        <v>366</v>
      </c>
      <c r="P60" s="1"/>
      <c r="Q60" s="1"/>
      <c r="R60" s="5" t="s">
        <v>214</v>
      </c>
      <c r="S60" s="5" t="s">
        <v>34</v>
      </c>
      <c r="T60" s="74">
        <v>0.9</v>
      </c>
      <c r="U60" s="1"/>
      <c r="V60" s="1"/>
      <c r="W60" s="1"/>
      <c r="X60" s="1"/>
      <c r="Y60" s="1">
        <v>909</v>
      </c>
      <c r="Z60" s="1">
        <v>950</v>
      </c>
      <c r="AA60" s="2"/>
      <c r="AB60" s="2"/>
      <c r="AC60" s="2"/>
      <c r="AD60" s="2"/>
      <c r="AE60" s="2">
        <v>762</v>
      </c>
      <c r="AF60" s="2">
        <v>762</v>
      </c>
      <c r="AG60" s="2"/>
      <c r="AH60" s="2"/>
      <c r="AI60" s="2"/>
      <c r="AJ60" s="2"/>
      <c r="AK60" s="2">
        <v>715</v>
      </c>
      <c r="AL60" s="2">
        <v>732</v>
      </c>
      <c r="AM60" s="2"/>
      <c r="AN60" s="2"/>
      <c r="AO60" s="2"/>
      <c r="AP60" s="2"/>
      <c r="AQ60" s="2">
        <v>1044</v>
      </c>
      <c r="AR60" s="2">
        <v>1104</v>
      </c>
      <c r="AS60" s="83">
        <f t="shared" si="11"/>
        <v>3430</v>
      </c>
      <c r="AT60" s="83">
        <f t="shared" si="11"/>
        <v>3548</v>
      </c>
      <c r="AU60" s="81">
        <f>AS60/AT60</f>
        <v>0.96674182638105977</v>
      </c>
      <c r="AV60" s="162">
        <f t="shared" si="12"/>
        <v>0.94565217391304346</v>
      </c>
      <c r="AW60" s="162">
        <f t="shared" si="13"/>
        <v>0.94565217391304346</v>
      </c>
      <c r="AX60" s="172" t="s">
        <v>533</v>
      </c>
      <c r="AY60" s="104" t="s">
        <v>613</v>
      </c>
    </row>
    <row r="61" spans="1:51" s="105" customFormat="1" ht="68.25" customHeight="1" x14ac:dyDescent="0.25">
      <c r="A61" s="4"/>
      <c r="B61" s="106" t="s">
        <v>661</v>
      </c>
      <c r="C61" s="65">
        <f>C60+1</f>
        <v>50</v>
      </c>
      <c r="D61" s="5" t="s">
        <v>334</v>
      </c>
      <c r="E61" s="5" t="s">
        <v>335</v>
      </c>
      <c r="F61" s="5" t="s">
        <v>336</v>
      </c>
      <c r="G61" s="5" t="s">
        <v>376</v>
      </c>
      <c r="H61" s="5" t="s">
        <v>377</v>
      </c>
      <c r="I61" s="5" t="s">
        <v>339</v>
      </c>
      <c r="J61" s="5" t="s">
        <v>46</v>
      </c>
      <c r="K61" s="5" t="s">
        <v>28</v>
      </c>
      <c r="L61" s="5" t="s">
        <v>29</v>
      </c>
      <c r="M61" s="5" t="s">
        <v>69</v>
      </c>
      <c r="N61" s="5" t="s">
        <v>365</v>
      </c>
      <c r="O61" s="5" t="s">
        <v>366</v>
      </c>
      <c r="P61" s="5"/>
      <c r="Q61" s="5"/>
      <c r="R61" s="5" t="s">
        <v>214</v>
      </c>
      <c r="S61" s="5" t="s">
        <v>34</v>
      </c>
      <c r="T61" s="74">
        <v>0.95</v>
      </c>
      <c r="U61" s="5"/>
      <c r="V61" s="5"/>
      <c r="W61" s="5"/>
      <c r="X61" s="5"/>
      <c r="Y61" s="5">
        <v>127</v>
      </c>
      <c r="Z61" s="5">
        <v>127</v>
      </c>
      <c r="AA61" s="2"/>
      <c r="AB61" s="2"/>
      <c r="AC61" s="2"/>
      <c r="AD61" s="2"/>
      <c r="AE61" s="166">
        <v>593</v>
      </c>
      <c r="AF61" s="166">
        <v>608</v>
      </c>
      <c r="AG61" s="2"/>
      <c r="AH61" s="2"/>
      <c r="AI61" s="2"/>
      <c r="AJ61" s="2"/>
      <c r="AK61" s="166">
        <v>867</v>
      </c>
      <c r="AL61" s="166">
        <v>872</v>
      </c>
      <c r="AM61" s="2"/>
      <c r="AN61" s="2"/>
      <c r="AO61" s="2"/>
      <c r="AP61" s="2"/>
      <c r="AQ61" s="2">
        <v>389</v>
      </c>
      <c r="AR61" s="2">
        <v>395</v>
      </c>
      <c r="AS61" s="83">
        <f t="shared" si="11"/>
        <v>1976</v>
      </c>
      <c r="AT61" s="83">
        <f t="shared" si="11"/>
        <v>2002</v>
      </c>
      <c r="AU61" s="81">
        <f>AS61/AT61</f>
        <v>0.98701298701298701</v>
      </c>
      <c r="AV61" s="162">
        <f t="shared" si="12"/>
        <v>0.98481012658227851</v>
      </c>
      <c r="AW61" s="162">
        <f t="shared" si="13"/>
        <v>0.98481012658227851</v>
      </c>
      <c r="AX61" s="172" t="s">
        <v>533</v>
      </c>
      <c r="AY61" s="104" t="s">
        <v>613</v>
      </c>
    </row>
    <row r="62" spans="1:51" s="105" customFormat="1" ht="68.25" customHeight="1" x14ac:dyDescent="0.25">
      <c r="B62" s="106" t="s">
        <v>662</v>
      </c>
      <c r="C62" s="65">
        <f>C61+1</f>
        <v>51</v>
      </c>
      <c r="D62" s="1" t="s">
        <v>334</v>
      </c>
      <c r="E62" s="1" t="s">
        <v>335</v>
      </c>
      <c r="F62" s="1" t="s">
        <v>336</v>
      </c>
      <c r="G62" s="1" t="s">
        <v>378</v>
      </c>
      <c r="H62" s="1" t="s">
        <v>379</v>
      </c>
      <c r="I62" s="1" t="s">
        <v>339</v>
      </c>
      <c r="J62" s="1" t="s">
        <v>46</v>
      </c>
      <c r="K62" s="5" t="s">
        <v>28</v>
      </c>
      <c r="L62" s="1" t="s">
        <v>29</v>
      </c>
      <c r="M62" s="1" t="s">
        <v>69</v>
      </c>
      <c r="N62" s="1" t="s">
        <v>365</v>
      </c>
      <c r="O62" s="1" t="s">
        <v>366</v>
      </c>
      <c r="P62" s="1"/>
      <c r="Q62" s="1"/>
      <c r="R62" s="5" t="s">
        <v>214</v>
      </c>
      <c r="S62" s="5" t="s">
        <v>34</v>
      </c>
      <c r="T62" s="74">
        <v>0.9</v>
      </c>
      <c r="U62" s="1"/>
      <c r="V62" s="1"/>
      <c r="W62" s="1"/>
      <c r="X62" s="1"/>
      <c r="Y62" s="1">
        <v>83</v>
      </c>
      <c r="Z62" s="1">
        <v>84</v>
      </c>
      <c r="AA62" s="2"/>
      <c r="AB62" s="2"/>
      <c r="AC62" s="2"/>
      <c r="AD62" s="2"/>
      <c r="AE62" s="5">
        <v>415</v>
      </c>
      <c r="AF62" s="5">
        <v>419</v>
      </c>
      <c r="AG62" s="166"/>
      <c r="AH62" s="166"/>
      <c r="AI62" s="166"/>
      <c r="AJ62" s="166"/>
      <c r="AK62" s="166">
        <v>49</v>
      </c>
      <c r="AL62" s="166">
        <v>49</v>
      </c>
      <c r="AM62" s="2"/>
      <c r="AN62" s="2"/>
      <c r="AO62" s="2"/>
      <c r="AP62" s="2"/>
      <c r="AQ62" s="2">
        <v>117</v>
      </c>
      <c r="AR62" s="2">
        <v>118</v>
      </c>
      <c r="AS62" s="83">
        <f t="shared" si="11"/>
        <v>664</v>
      </c>
      <c r="AT62" s="83">
        <f t="shared" si="11"/>
        <v>670</v>
      </c>
      <c r="AU62" s="81">
        <f>AS62/AT62</f>
        <v>0.991044776119403</v>
      </c>
      <c r="AV62" s="162">
        <f t="shared" si="12"/>
        <v>0.99152542372881358</v>
      </c>
      <c r="AW62" s="162">
        <f t="shared" si="13"/>
        <v>0.99152542372881358</v>
      </c>
      <c r="AX62" s="172" t="s">
        <v>533</v>
      </c>
      <c r="AY62" s="104" t="s">
        <v>613</v>
      </c>
    </row>
    <row r="63" spans="1:51" s="105" customFormat="1" ht="68.25" hidden="1" customHeight="1" x14ac:dyDescent="0.25">
      <c r="B63" s="106" t="s">
        <v>663</v>
      </c>
      <c r="C63" s="65">
        <f>C62+1</f>
        <v>52</v>
      </c>
      <c r="D63" s="1" t="s">
        <v>334</v>
      </c>
      <c r="E63" s="1" t="s">
        <v>335</v>
      </c>
      <c r="F63" s="1" t="s">
        <v>344</v>
      </c>
      <c r="G63" s="1" t="s">
        <v>398</v>
      </c>
      <c r="H63" s="1" t="s">
        <v>399</v>
      </c>
      <c r="I63" s="1" t="s">
        <v>339</v>
      </c>
      <c r="J63" s="1" t="s">
        <v>46</v>
      </c>
      <c r="K63" s="5" t="s">
        <v>28</v>
      </c>
      <c r="L63" s="1" t="s">
        <v>29</v>
      </c>
      <c r="M63" s="1" t="s">
        <v>143</v>
      </c>
      <c r="N63" s="1" t="s">
        <v>400</v>
      </c>
      <c r="O63" s="1" t="s">
        <v>401</v>
      </c>
      <c r="P63" s="1"/>
      <c r="Q63" s="1"/>
      <c r="R63" s="92" t="s">
        <v>159</v>
      </c>
      <c r="S63" s="5" t="s">
        <v>86</v>
      </c>
      <c r="T63" s="74">
        <v>0.3</v>
      </c>
      <c r="U63" s="1"/>
      <c r="V63" s="1"/>
      <c r="W63" s="1"/>
      <c r="X63" s="1"/>
      <c r="Y63" s="1"/>
      <c r="Z63" s="1"/>
      <c r="AA63" s="2"/>
      <c r="AB63" s="2"/>
      <c r="AC63" s="2"/>
      <c r="AD63" s="2"/>
      <c r="AE63" s="2"/>
      <c r="AF63" s="2"/>
      <c r="AG63" s="2"/>
      <c r="AH63" s="2"/>
      <c r="AI63" s="2"/>
      <c r="AJ63" s="2"/>
      <c r="AK63" s="2"/>
      <c r="AL63" s="2"/>
      <c r="AM63" s="2"/>
      <c r="AN63" s="2"/>
      <c r="AO63" s="2"/>
      <c r="AP63" s="2"/>
      <c r="AQ63" s="2"/>
      <c r="AR63" s="2"/>
      <c r="AS63" s="83"/>
      <c r="AT63" s="83"/>
      <c r="AU63" s="81"/>
      <c r="AV63" s="81"/>
      <c r="AW63" s="81"/>
      <c r="AX63" s="81"/>
      <c r="AY63" s="104"/>
    </row>
    <row r="64" spans="1:51" s="105" customFormat="1" ht="68.25" customHeight="1" x14ac:dyDescent="0.25">
      <c r="B64" s="106" t="s">
        <v>664</v>
      </c>
      <c r="C64" s="65">
        <f>C62+1</f>
        <v>52</v>
      </c>
      <c r="D64" s="1" t="s">
        <v>334</v>
      </c>
      <c r="E64" s="1" t="s">
        <v>335</v>
      </c>
      <c r="F64" s="1" t="s">
        <v>336</v>
      </c>
      <c r="G64" s="1" t="s">
        <v>380</v>
      </c>
      <c r="H64" s="1" t="s">
        <v>381</v>
      </c>
      <c r="I64" s="1" t="s">
        <v>339</v>
      </c>
      <c r="J64" s="1" t="s">
        <v>27</v>
      </c>
      <c r="K64" s="1" t="s">
        <v>133</v>
      </c>
      <c r="L64" s="1" t="s">
        <v>648</v>
      </c>
      <c r="M64" s="1" t="s">
        <v>30</v>
      </c>
      <c r="N64" s="1" t="s">
        <v>383</v>
      </c>
      <c r="O64" s="1" t="s">
        <v>384</v>
      </c>
      <c r="P64" s="1"/>
      <c r="Q64" s="1"/>
      <c r="R64" s="5" t="s">
        <v>214</v>
      </c>
      <c r="S64" s="5" t="s">
        <v>34</v>
      </c>
      <c r="T64" s="74" t="s">
        <v>665</v>
      </c>
      <c r="U64" s="1">
        <v>1</v>
      </c>
      <c r="V64" s="1">
        <v>1864</v>
      </c>
      <c r="W64" s="1">
        <v>3</v>
      </c>
      <c r="X64" s="1">
        <v>1853</v>
      </c>
      <c r="Y64" s="1">
        <v>8</v>
      </c>
      <c r="Z64" s="1">
        <v>1850</v>
      </c>
      <c r="AA64" s="5">
        <v>13</v>
      </c>
      <c r="AB64" s="5">
        <v>2241</v>
      </c>
      <c r="AC64" s="5">
        <v>8</v>
      </c>
      <c r="AD64" s="5">
        <v>2242</v>
      </c>
      <c r="AE64" s="5">
        <v>4</v>
      </c>
      <c r="AF64" s="5">
        <v>2242</v>
      </c>
      <c r="AG64" s="5">
        <v>8</v>
      </c>
      <c r="AH64" s="5">
        <v>2251</v>
      </c>
      <c r="AI64" s="5">
        <v>4</v>
      </c>
      <c r="AJ64" s="5">
        <f>749+1504</f>
        <v>2253</v>
      </c>
      <c r="AK64" s="5">
        <v>10</v>
      </c>
      <c r="AL64" s="5">
        <f>1622+746</f>
        <v>2368</v>
      </c>
      <c r="AM64" s="5">
        <v>5</v>
      </c>
      <c r="AN64" s="5">
        <v>2287</v>
      </c>
      <c r="AO64" s="2">
        <v>5</v>
      </c>
      <c r="AP64" s="2">
        <v>2288</v>
      </c>
      <c r="AQ64" s="2">
        <v>3</v>
      </c>
      <c r="AR64" s="2">
        <f>1541+745</f>
        <v>2286</v>
      </c>
      <c r="AS64" s="83">
        <f t="shared" ref="AS64:AS78" si="14">U64+W64+Y64+AA64+AC64+AE64+AG64+AI64+AK64+AM64+AO64+AQ64</f>
        <v>72</v>
      </c>
      <c r="AT64" s="83">
        <f t="shared" ref="AT64:AT78" si="15">V64+X64+Z64+AB64+AD64+AF64+AH64+AJ64+AL64+AN64+AP64+AR64</f>
        <v>26025</v>
      </c>
      <c r="AU64" s="162">
        <f t="shared" ref="AU64:AU78" si="16">AS64/AT64</f>
        <v>2.7665706051873198E-3</v>
      </c>
      <c r="AV64" s="162">
        <f>(AM64+AO64+AQ64)/(AN64+AP64+AR64)</f>
        <v>1.894767526599621E-3</v>
      </c>
      <c r="AW64" s="162">
        <f>AQ64/AR64</f>
        <v>1.3123359580052493E-3</v>
      </c>
      <c r="AX64" s="162" t="s">
        <v>533</v>
      </c>
      <c r="AY64" s="104" t="s">
        <v>613</v>
      </c>
    </row>
    <row r="65" spans="1:51" s="105" customFormat="1" ht="68.25" customHeight="1" x14ac:dyDescent="0.25">
      <c r="B65" s="106" t="s">
        <v>666</v>
      </c>
      <c r="C65" s="65">
        <f t="shared" ref="C65:C79" si="17">C64+1</f>
        <v>53</v>
      </c>
      <c r="D65" s="1" t="s">
        <v>334</v>
      </c>
      <c r="E65" s="1" t="s">
        <v>335</v>
      </c>
      <c r="F65" s="1" t="s">
        <v>336</v>
      </c>
      <c r="G65" s="1" t="s">
        <v>393</v>
      </c>
      <c r="H65" s="1" t="s">
        <v>394</v>
      </c>
      <c r="I65" s="1" t="s">
        <v>339</v>
      </c>
      <c r="J65" s="1" t="s">
        <v>27</v>
      </c>
      <c r="K65" s="1" t="s">
        <v>133</v>
      </c>
      <c r="L65" s="1" t="s">
        <v>29</v>
      </c>
      <c r="M65" s="1" t="s">
        <v>143</v>
      </c>
      <c r="N65" s="1" t="s">
        <v>395</v>
      </c>
      <c r="O65" s="1" t="s">
        <v>396</v>
      </c>
      <c r="P65" s="1"/>
      <c r="Q65" s="1"/>
      <c r="R65" s="5" t="s">
        <v>214</v>
      </c>
      <c r="S65" s="5" t="s">
        <v>34</v>
      </c>
      <c r="T65" s="74">
        <v>0.03</v>
      </c>
      <c r="U65" s="1"/>
      <c r="V65" s="1"/>
      <c r="W65" s="1"/>
      <c r="X65" s="1"/>
      <c r="Y65" s="1"/>
      <c r="Z65" s="1"/>
      <c r="AA65" s="2"/>
      <c r="AB65" s="2"/>
      <c r="AC65" s="2"/>
      <c r="AD65" s="2"/>
      <c r="AE65" s="2">
        <v>1</v>
      </c>
      <c r="AF65" s="2">
        <v>740</v>
      </c>
      <c r="AG65" s="2"/>
      <c r="AH65" s="2"/>
      <c r="AI65" s="2"/>
      <c r="AJ65" s="2"/>
      <c r="AK65" s="168"/>
      <c r="AL65" s="168"/>
      <c r="AM65" s="2"/>
      <c r="AN65" s="2"/>
      <c r="AO65" s="2"/>
      <c r="AP65" s="2"/>
      <c r="AQ65" s="2">
        <v>1</v>
      </c>
      <c r="AR65" s="2">
        <v>745</v>
      </c>
      <c r="AS65" s="83">
        <f t="shared" si="14"/>
        <v>2</v>
      </c>
      <c r="AT65" s="83">
        <f t="shared" si="15"/>
        <v>1485</v>
      </c>
      <c r="AU65" s="182">
        <f t="shared" si="16"/>
        <v>1.3468013468013469E-3</v>
      </c>
      <c r="AV65" s="162">
        <f>(AM65+AO65+AQ65)/(AN65+AP65+AR65)</f>
        <v>1.3422818791946308E-3</v>
      </c>
      <c r="AW65" s="162">
        <f>AV65</f>
        <v>1.3422818791946308E-3</v>
      </c>
      <c r="AX65" s="172" t="s">
        <v>533</v>
      </c>
      <c r="AY65" s="104" t="s">
        <v>613</v>
      </c>
    </row>
    <row r="66" spans="1:51" s="105" customFormat="1" ht="93" customHeight="1" x14ac:dyDescent="0.25">
      <c r="B66" s="106" t="s">
        <v>667</v>
      </c>
      <c r="C66" s="65">
        <f t="shared" si="17"/>
        <v>54</v>
      </c>
      <c r="D66" s="1" t="s">
        <v>334</v>
      </c>
      <c r="E66" s="1" t="s">
        <v>335</v>
      </c>
      <c r="F66" s="1" t="s">
        <v>336</v>
      </c>
      <c r="G66" s="1" t="s">
        <v>387</v>
      </c>
      <c r="H66" s="1" t="s">
        <v>388</v>
      </c>
      <c r="I66" s="1" t="s">
        <v>339</v>
      </c>
      <c r="J66" s="1" t="s">
        <v>27</v>
      </c>
      <c r="K66" s="1" t="s">
        <v>133</v>
      </c>
      <c r="L66" s="1" t="s">
        <v>29</v>
      </c>
      <c r="M66" s="1" t="s">
        <v>30</v>
      </c>
      <c r="N66" s="1" t="s">
        <v>389</v>
      </c>
      <c r="O66" s="1" t="s">
        <v>390</v>
      </c>
      <c r="P66" s="1" t="s">
        <v>668</v>
      </c>
      <c r="Q66" s="106"/>
      <c r="R66" s="5" t="s">
        <v>391</v>
      </c>
      <c r="S66" s="5" t="s">
        <v>34</v>
      </c>
      <c r="T66" s="74">
        <v>0.04</v>
      </c>
      <c r="U66" s="167">
        <v>31</v>
      </c>
      <c r="V66" s="167">
        <f>31*752</f>
        <v>23312</v>
      </c>
      <c r="W66" s="167">
        <v>273</v>
      </c>
      <c r="X66" s="177">
        <f>(741*28)</f>
        <v>20748</v>
      </c>
      <c r="Y66" s="167">
        <v>455</v>
      </c>
      <c r="Z66" s="167">
        <f>(31*738)</f>
        <v>22878</v>
      </c>
      <c r="AA66" s="5">
        <v>307</v>
      </c>
      <c r="AB66" s="5">
        <f>739*30</f>
        <v>22170</v>
      </c>
      <c r="AC66" s="5">
        <v>439</v>
      </c>
      <c r="AD66" s="1">
        <f>(740*31)</f>
        <v>22940</v>
      </c>
      <c r="AE66" s="5">
        <v>297</v>
      </c>
      <c r="AF66" s="1">
        <f>(740*3)</f>
        <v>2220</v>
      </c>
      <c r="AG66" s="5">
        <v>505</v>
      </c>
      <c r="AH66" s="5">
        <f>749*31</f>
        <v>23219</v>
      </c>
      <c r="AI66" s="5">
        <v>312</v>
      </c>
      <c r="AJ66" s="5">
        <f>749*31</f>
        <v>23219</v>
      </c>
      <c r="AK66" s="5">
        <v>436</v>
      </c>
      <c r="AL66" s="5">
        <f>746*30</f>
        <v>22380</v>
      </c>
      <c r="AM66" s="5">
        <f>447</f>
        <v>447</v>
      </c>
      <c r="AN66" s="5">
        <f>746*31</f>
        <v>23126</v>
      </c>
      <c r="AO66" s="2">
        <v>229</v>
      </c>
      <c r="AP66" s="2">
        <f>747*30</f>
        <v>22410</v>
      </c>
      <c r="AQ66" s="2">
        <v>283</v>
      </c>
      <c r="AR66" s="2">
        <f>745*31</f>
        <v>23095</v>
      </c>
      <c r="AS66" s="83">
        <f t="shared" si="14"/>
        <v>4014</v>
      </c>
      <c r="AT66" s="83">
        <f t="shared" si="15"/>
        <v>251717</v>
      </c>
      <c r="AU66" s="162">
        <f t="shared" si="16"/>
        <v>1.5946479578256532E-2</v>
      </c>
      <c r="AV66" s="162">
        <f>(AM66+AO66+AQ66)/(AN66+AP66+AR66)</f>
        <v>1.3973277381941105E-2</v>
      </c>
      <c r="AW66" s="162">
        <f>AQ66/AR66</f>
        <v>1.2253734574583243E-2</v>
      </c>
      <c r="AX66" s="162" t="s">
        <v>533</v>
      </c>
      <c r="AY66" s="104" t="s">
        <v>613</v>
      </c>
    </row>
    <row r="67" spans="1:51" s="105" customFormat="1" ht="104.25" customHeight="1" x14ac:dyDescent="0.25">
      <c r="B67" s="106" t="s">
        <v>669</v>
      </c>
      <c r="C67" s="65">
        <f t="shared" si="17"/>
        <v>55</v>
      </c>
      <c r="D67" s="1" t="s">
        <v>334</v>
      </c>
      <c r="E67" s="1" t="s">
        <v>335</v>
      </c>
      <c r="F67" s="1" t="s">
        <v>344</v>
      </c>
      <c r="G67" s="1" t="s">
        <v>345</v>
      </c>
      <c r="H67" s="1" t="s">
        <v>346</v>
      </c>
      <c r="I67" s="1" t="s">
        <v>339</v>
      </c>
      <c r="J67" s="1" t="s">
        <v>27</v>
      </c>
      <c r="K67" s="5" t="s">
        <v>28</v>
      </c>
      <c r="L67" s="1" t="s">
        <v>29</v>
      </c>
      <c r="M67" s="1" t="s">
        <v>69</v>
      </c>
      <c r="N67" s="1" t="s">
        <v>347</v>
      </c>
      <c r="O67" s="1" t="s">
        <v>348</v>
      </c>
      <c r="P67" s="1"/>
      <c r="Q67" s="1"/>
      <c r="R67" s="5" t="s">
        <v>214</v>
      </c>
      <c r="S67" s="5" t="s">
        <v>34</v>
      </c>
      <c r="T67" s="74">
        <v>0.93</v>
      </c>
      <c r="U67" s="1"/>
      <c r="V67" s="1"/>
      <c r="W67" s="1"/>
      <c r="X67" s="1"/>
      <c r="Y67" s="1">
        <v>41</v>
      </c>
      <c r="Z67" s="1">
        <v>41</v>
      </c>
      <c r="AA67" s="2"/>
      <c r="AB67" s="2"/>
      <c r="AC67" s="2"/>
      <c r="AD67" s="2"/>
      <c r="AE67" s="5">
        <v>40</v>
      </c>
      <c r="AF67" s="5">
        <v>42</v>
      </c>
      <c r="AG67" s="2"/>
      <c r="AH67" s="2"/>
      <c r="AI67" s="2"/>
      <c r="AJ67" s="2"/>
      <c r="AK67" s="5">
        <v>44</v>
      </c>
      <c r="AL67" s="5">
        <v>44</v>
      </c>
      <c r="AM67" s="2"/>
      <c r="AN67" s="2"/>
      <c r="AO67" s="2"/>
      <c r="AP67" s="2"/>
      <c r="AQ67" s="2">
        <v>45</v>
      </c>
      <c r="AR67" s="2">
        <v>46</v>
      </c>
      <c r="AS67" s="83">
        <f t="shared" si="14"/>
        <v>170</v>
      </c>
      <c r="AT67" s="83">
        <f t="shared" si="15"/>
        <v>173</v>
      </c>
      <c r="AU67" s="81">
        <f t="shared" si="16"/>
        <v>0.98265895953757221</v>
      </c>
      <c r="AV67" s="162">
        <f t="shared" ref="AV67:AV74" si="18">AQ67/AR67</f>
        <v>0.97826086956521741</v>
      </c>
      <c r="AW67" s="161">
        <f>AV67</f>
        <v>0.97826086956521741</v>
      </c>
      <c r="AX67" s="172" t="s">
        <v>533</v>
      </c>
      <c r="AY67" s="104" t="s">
        <v>613</v>
      </c>
    </row>
    <row r="68" spans="1:51" s="105" customFormat="1" ht="77.25" customHeight="1" x14ac:dyDescent="0.25">
      <c r="B68" s="106" t="s">
        <v>670</v>
      </c>
      <c r="C68" s="65">
        <f t="shared" si="17"/>
        <v>56</v>
      </c>
      <c r="D68" s="1" t="s">
        <v>334</v>
      </c>
      <c r="E68" s="1" t="s">
        <v>335</v>
      </c>
      <c r="F68" s="1" t="s">
        <v>336</v>
      </c>
      <c r="G68" s="1" t="s">
        <v>350</v>
      </c>
      <c r="H68" s="1" t="s">
        <v>351</v>
      </c>
      <c r="I68" s="1" t="s">
        <v>339</v>
      </c>
      <c r="J68" s="1" t="s">
        <v>27</v>
      </c>
      <c r="K68" s="5" t="s">
        <v>28</v>
      </c>
      <c r="L68" s="1" t="s">
        <v>29</v>
      </c>
      <c r="M68" s="1" t="s">
        <v>69</v>
      </c>
      <c r="N68" s="1" t="s">
        <v>347</v>
      </c>
      <c r="O68" s="1" t="s">
        <v>348</v>
      </c>
      <c r="P68" s="1"/>
      <c r="Q68" s="1"/>
      <c r="R68" s="5" t="s">
        <v>214</v>
      </c>
      <c r="S68" s="5" t="s">
        <v>34</v>
      </c>
      <c r="T68" s="74">
        <v>0.93</v>
      </c>
      <c r="U68" s="1"/>
      <c r="V68" s="1"/>
      <c r="W68" s="1"/>
      <c r="X68" s="1"/>
      <c r="Y68" s="1">
        <v>9</v>
      </c>
      <c r="Z68" s="1">
        <v>9</v>
      </c>
      <c r="AA68" s="2"/>
      <c r="AB68" s="2"/>
      <c r="AC68" s="2"/>
      <c r="AD68" s="2"/>
      <c r="AE68" s="5">
        <v>12</v>
      </c>
      <c r="AF68" s="5">
        <v>18</v>
      </c>
      <c r="AG68" s="2"/>
      <c r="AH68" s="2"/>
      <c r="AI68" s="2"/>
      <c r="AJ68" s="2"/>
      <c r="AK68" s="2">
        <v>4</v>
      </c>
      <c r="AL68" s="2">
        <v>6</v>
      </c>
      <c r="AM68" s="2"/>
      <c r="AN68" s="2"/>
      <c r="AO68" s="2"/>
      <c r="AP68" s="2"/>
      <c r="AQ68" s="2">
        <v>5</v>
      </c>
      <c r="AR68" s="2">
        <v>5</v>
      </c>
      <c r="AS68" s="83">
        <f t="shared" si="14"/>
        <v>30</v>
      </c>
      <c r="AT68" s="83">
        <f t="shared" si="15"/>
        <v>38</v>
      </c>
      <c r="AU68" s="81">
        <f t="shared" si="16"/>
        <v>0.78947368421052633</v>
      </c>
      <c r="AV68" s="162">
        <f t="shared" si="18"/>
        <v>1</v>
      </c>
      <c r="AW68" s="162">
        <f>AV68</f>
        <v>1</v>
      </c>
      <c r="AX68" s="172" t="s">
        <v>533</v>
      </c>
      <c r="AY68" s="104" t="s">
        <v>613</v>
      </c>
    </row>
    <row r="69" spans="1:51" s="105" customFormat="1" ht="77.25" customHeight="1" x14ac:dyDescent="0.25">
      <c r="B69" s="106" t="s">
        <v>671</v>
      </c>
      <c r="C69" s="65">
        <f t="shared" si="17"/>
        <v>57</v>
      </c>
      <c r="D69" s="1" t="s">
        <v>334</v>
      </c>
      <c r="E69" s="1" t="s">
        <v>335</v>
      </c>
      <c r="F69" s="1" t="s">
        <v>336</v>
      </c>
      <c r="G69" s="1" t="s">
        <v>353</v>
      </c>
      <c r="H69" s="1" t="s">
        <v>354</v>
      </c>
      <c r="I69" s="1" t="s">
        <v>339</v>
      </c>
      <c r="J69" s="1" t="s">
        <v>27</v>
      </c>
      <c r="K69" s="5" t="s">
        <v>28</v>
      </c>
      <c r="L69" s="1" t="s">
        <v>29</v>
      </c>
      <c r="M69" s="1" t="s">
        <v>69</v>
      </c>
      <c r="N69" s="1" t="s">
        <v>347</v>
      </c>
      <c r="O69" s="1" t="s">
        <v>348</v>
      </c>
      <c r="P69" s="1"/>
      <c r="Q69" s="1"/>
      <c r="R69" s="5" t="s">
        <v>214</v>
      </c>
      <c r="S69" s="5" t="s">
        <v>34</v>
      </c>
      <c r="T69" s="74">
        <v>0.95</v>
      </c>
      <c r="U69" s="1"/>
      <c r="V69" s="1"/>
      <c r="W69" s="1"/>
      <c r="X69" s="1"/>
      <c r="Y69" s="1">
        <v>2</v>
      </c>
      <c r="Z69" s="1">
        <v>2</v>
      </c>
      <c r="AA69" s="2"/>
      <c r="AB69" s="2"/>
      <c r="AC69" s="2"/>
      <c r="AD69" s="2"/>
      <c r="AE69" s="5">
        <v>6</v>
      </c>
      <c r="AF69" s="5">
        <v>6</v>
      </c>
      <c r="AG69" s="2"/>
      <c r="AH69" s="2"/>
      <c r="AI69" s="2"/>
      <c r="AJ69" s="2"/>
      <c r="AK69" s="2">
        <v>5</v>
      </c>
      <c r="AL69" s="2">
        <v>5</v>
      </c>
      <c r="AM69" s="2"/>
      <c r="AN69" s="2"/>
      <c r="AO69" s="2"/>
      <c r="AP69" s="2"/>
      <c r="AQ69" s="2">
        <v>7</v>
      </c>
      <c r="AR69" s="2">
        <v>7</v>
      </c>
      <c r="AS69" s="83">
        <f t="shared" si="14"/>
        <v>20</v>
      </c>
      <c r="AT69" s="83">
        <f t="shared" si="15"/>
        <v>20</v>
      </c>
      <c r="AU69" s="81">
        <f t="shared" si="16"/>
        <v>1</v>
      </c>
      <c r="AV69" s="162">
        <f t="shared" si="18"/>
        <v>1</v>
      </c>
      <c r="AW69" s="81">
        <v>1</v>
      </c>
      <c r="AX69" s="172" t="s">
        <v>533</v>
      </c>
      <c r="AY69" s="104" t="s">
        <v>613</v>
      </c>
    </row>
    <row r="70" spans="1:51" s="105" customFormat="1" ht="77.25" customHeight="1" x14ac:dyDescent="0.25">
      <c r="B70" s="106" t="s">
        <v>672</v>
      </c>
      <c r="C70" s="65">
        <f t="shared" si="17"/>
        <v>58</v>
      </c>
      <c r="D70" s="1" t="s">
        <v>334</v>
      </c>
      <c r="E70" s="1" t="s">
        <v>335</v>
      </c>
      <c r="F70" s="1" t="s">
        <v>336</v>
      </c>
      <c r="G70" s="1" t="s">
        <v>355</v>
      </c>
      <c r="H70" s="1" t="s">
        <v>356</v>
      </c>
      <c r="I70" s="1" t="s">
        <v>339</v>
      </c>
      <c r="J70" s="1" t="s">
        <v>27</v>
      </c>
      <c r="K70" s="5" t="s">
        <v>28</v>
      </c>
      <c r="L70" s="1" t="s">
        <v>29</v>
      </c>
      <c r="M70" s="1" t="s">
        <v>69</v>
      </c>
      <c r="N70" s="1" t="s">
        <v>347</v>
      </c>
      <c r="O70" s="1" t="s">
        <v>348</v>
      </c>
      <c r="P70" s="1"/>
      <c r="Q70" s="1"/>
      <c r="R70" s="5" t="s">
        <v>214</v>
      </c>
      <c r="S70" s="5" t="s">
        <v>34</v>
      </c>
      <c r="T70" s="74">
        <v>0.95</v>
      </c>
      <c r="U70" s="1"/>
      <c r="V70" s="1"/>
      <c r="W70" s="1"/>
      <c r="X70" s="1"/>
      <c r="Y70" s="1">
        <v>16</v>
      </c>
      <c r="Z70" s="1">
        <v>16</v>
      </c>
      <c r="AA70" s="2"/>
      <c r="AB70" s="2"/>
      <c r="AC70" s="2"/>
      <c r="AD70" s="2"/>
      <c r="AE70" s="5">
        <v>21</v>
      </c>
      <c r="AF70" s="5">
        <v>21</v>
      </c>
      <c r="AG70" s="2"/>
      <c r="AH70" s="2"/>
      <c r="AI70" s="2"/>
      <c r="AJ70" s="2"/>
      <c r="AK70" s="2">
        <v>18</v>
      </c>
      <c r="AL70" s="2">
        <v>18</v>
      </c>
      <c r="AM70" s="2"/>
      <c r="AN70" s="2"/>
      <c r="AO70" s="2"/>
      <c r="AP70" s="2"/>
      <c r="AQ70" s="2">
        <v>17</v>
      </c>
      <c r="AR70" s="2">
        <v>17</v>
      </c>
      <c r="AS70" s="83">
        <f t="shared" si="14"/>
        <v>72</v>
      </c>
      <c r="AT70" s="83">
        <f t="shared" si="15"/>
        <v>72</v>
      </c>
      <c r="AU70" s="81">
        <f t="shared" si="16"/>
        <v>1</v>
      </c>
      <c r="AV70" s="162">
        <f t="shared" si="18"/>
        <v>1</v>
      </c>
      <c r="AW70" s="81">
        <v>1</v>
      </c>
      <c r="AX70" s="172" t="s">
        <v>533</v>
      </c>
      <c r="AY70" s="104" t="s">
        <v>613</v>
      </c>
    </row>
    <row r="71" spans="1:51" s="105" customFormat="1" ht="77.25" customHeight="1" x14ac:dyDescent="0.25">
      <c r="B71" s="106" t="s">
        <v>673</v>
      </c>
      <c r="C71" s="65">
        <f t="shared" si="17"/>
        <v>59</v>
      </c>
      <c r="D71" s="1" t="s">
        <v>334</v>
      </c>
      <c r="E71" s="1" t="s">
        <v>335</v>
      </c>
      <c r="F71" s="1" t="s">
        <v>336</v>
      </c>
      <c r="G71" s="1" t="s">
        <v>357</v>
      </c>
      <c r="H71" s="1" t="s">
        <v>358</v>
      </c>
      <c r="I71" s="1" t="s">
        <v>339</v>
      </c>
      <c r="J71" s="1" t="s">
        <v>27</v>
      </c>
      <c r="K71" s="5" t="s">
        <v>28</v>
      </c>
      <c r="L71" s="1" t="s">
        <v>29</v>
      </c>
      <c r="M71" s="1" t="s">
        <v>69</v>
      </c>
      <c r="N71" s="1" t="s">
        <v>347</v>
      </c>
      <c r="O71" s="1" t="s">
        <v>348</v>
      </c>
      <c r="P71" s="1"/>
      <c r="Q71" s="1"/>
      <c r="R71" s="5" t="s">
        <v>214</v>
      </c>
      <c r="S71" s="5" t="s">
        <v>34</v>
      </c>
      <c r="T71" s="74">
        <v>0.95</v>
      </c>
      <c r="U71" s="1"/>
      <c r="V71" s="1"/>
      <c r="W71" s="1"/>
      <c r="X71" s="1"/>
      <c r="Y71" s="1">
        <v>5</v>
      </c>
      <c r="Z71" s="1">
        <v>5</v>
      </c>
      <c r="AA71" s="2"/>
      <c r="AB71" s="2"/>
      <c r="AC71" s="2"/>
      <c r="AD71" s="2"/>
      <c r="AE71" s="5">
        <v>23</v>
      </c>
      <c r="AF71" s="5">
        <v>23</v>
      </c>
      <c r="AG71" s="2"/>
      <c r="AH71" s="2"/>
      <c r="AI71" s="2"/>
      <c r="AJ71" s="2"/>
      <c r="AK71" s="196">
        <v>28</v>
      </c>
      <c r="AL71" s="196">
        <v>28</v>
      </c>
      <c r="AM71" s="2"/>
      <c r="AN71" s="2"/>
      <c r="AO71" s="2"/>
      <c r="AP71" s="2"/>
      <c r="AQ71" s="2">
        <v>16</v>
      </c>
      <c r="AR71" s="2">
        <v>24</v>
      </c>
      <c r="AS71" s="83">
        <f t="shared" si="14"/>
        <v>72</v>
      </c>
      <c r="AT71" s="83">
        <f t="shared" si="15"/>
        <v>80</v>
      </c>
      <c r="AU71" s="81">
        <f t="shared" si="16"/>
        <v>0.9</v>
      </c>
      <c r="AV71" s="162">
        <f t="shared" si="18"/>
        <v>0.66666666666666663</v>
      </c>
      <c r="AW71" s="161">
        <f>AV71</f>
        <v>0.66666666666666663</v>
      </c>
      <c r="AX71" s="172" t="s">
        <v>534</v>
      </c>
      <c r="AY71" s="104" t="s">
        <v>613</v>
      </c>
    </row>
    <row r="72" spans="1:51" s="105" customFormat="1" ht="77.25" customHeight="1" x14ac:dyDescent="0.25">
      <c r="B72" s="106" t="s">
        <v>674</v>
      </c>
      <c r="C72" s="65">
        <f t="shared" si="17"/>
        <v>60</v>
      </c>
      <c r="D72" s="1" t="s">
        <v>334</v>
      </c>
      <c r="E72" s="1" t="s">
        <v>335</v>
      </c>
      <c r="F72" s="1" t="s">
        <v>336</v>
      </c>
      <c r="G72" s="1" t="s">
        <v>360</v>
      </c>
      <c r="H72" s="1" t="s">
        <v>361</v>
      </c>
      <c r="I72" s="1" t="s">
        <v>339</v>
      </c>
      <c r="J72" s="1" t="s">
        <v>27</v>
      </c>
      <c r="K72" s="5" t="s">
        <v>28</v>
      </c>
      <c r="L72" s="1" t="s">
        <v>29</v>
      </c>
      <c r="M72" s="1" t="s">
        <v>69</v>
      </c>
      <c r="N72" s="1" t="s">
        <v>347</v>
      </c>
      <c r="O72" s="1" t="s">
        <v>348</v>
      </c>
      <c r="P72" s="1"/>
      <c r="Q72" s="1"/>
      <c r="R72" s="5" t="s">
        <v>214</v>
      </c>
      <c r="S72" s="5" t="s">
        <v>34</v>
      </c>
      <c r="T72" s="74">
        <v>0.95</v>
      </c>
      <c r="U72" s="1"/>
      <c r="V72" s="1"/>
      <c r="W72" s="1"/>
      <c r="X72" s="1"/>
      <c r="Y72" s="1">
        <v>5</v>
      </c>
      <c r="Z72" s="1">
        <v>5</v>
      </c>
      <c r="AA72" s="2"/>
      <c r="AB72" s="2"/>
      <c r="AC72" s="2"/>
      <c r="AD72" s="2"/>
      <c r="AE72" s="5">
        <v>7</v>
      </c>
      <c r="AF72" s="5">
        <v>7</v>
      </c>
      <c r="AG72" s="2"/>
      <c r="AH72" s="2"/>
      <c r="AI72" s="2"/>
      <c r="AJ72" s="2"/>
      <c r="AK72" s="1">
        <v>6</v>
      </c>
      <c r="AL72" s="1">
        <v>6</v>
      </c>
      <c r="AM72" s="2"/>
      <c r="AN72" s="2"/>
      <c r="AO72" s="2"/>
      <c r="AP72" s="2"/>
      <c r="AQ72" s="2">
        <v>6</v>
      </c>
      <c r="AR72" s="2">
        <v>6</v>
      </c>
      <c r="AS72" s="83">
        <f t="shared" si="14"/>
        <v>24</v>
      </c>
      <c r="AT72" s="83">
        <f t="shared" si="15"/>
        <v>24</v>
      </c>
      <c r="AU72" s="81">
        <f t="shared" si="16"/>
        <v>1</v>
      </c>
      <c r="AV72" s="162">
        <f t="shared" si="18"/>
        <v>1</v>
      </c>
      <c r="AW72" s="81">
        <v>1</v>
      </c>
      <c r="AX72" s="172" t="s">
        <v>533</v>
      </c>
      <c r="AY72" s="104" t="s">
        <v>613</v>
      </c>
    </row>
    <row r="73" spans="1:51" s="105" customFormat="1" ht="77.25" customHeight="1" x14ac:dyDescent="0.25">
      <c r="B73" s="106" t="s">
        <v>675</v>
      </c>
      <c r="C73" s="65">
        <f t="shared" si="17"/>
        <v>61</v>
      </c>
      <c r="D73" s="1" t="s">
        <v>334</v>
      </c>
      <c r="E73" s="1" t="s">
        <v>335</v>
      </c>
      <c r="F73" s="1" t="s">
        <v>336</v>
      </c>
      <c r="G73" s="1" t="s">
        <v>363</v>
      </c>
      <c r="H73" s="1" t="s">
        <v>364</v>
      </c>
      <c r="I73" s="1" t="s">
        <v>339</v>
      </c>
      <c r="J73" s="1" t="s">
        <v>46</v>
      </c>
      <c r="K73" s="5" t="s">
        <v>28</v>
      </c>
      <c r="L73" s="1" t="s">
        <v>29</v>
      </c>
      <c r="M73" s="1" t="s">
        <v>69</v>
      </c>
      <c r="N73" s="1" t="s">
        <v>365</v>
      </c>
      <c r="O73" s="1" t="s">
        <v>366</v>
      </c>
      <c r="P73" s="1"/>
      <c r="Q73" s="1"/>
      <c r="R73" s="5" t="s">
        <v>214</v>
      </c>
      <c r="S73" s="5" t="s">
        <v>34</v>
      </c>
      <c r="T73" s="74">
        <v>0.9</v>
      </c>
      <c r="U73" s="1"/>
      <c r="V73" s="1"/>
      <c r="W73" s="1"/>
      <c r="X73" s="1"/>
      <c r="Y73" s="1">
        <v>895</v>
      </c>
      <c r="Z73" s="1">
        <v>902</v>
      </c>
      <c r="AA73" s="2"/>
      <c r="AB73" s="2"/>
      <c r="AC73" s="2"/>
      <c r="AD73" s="2"/>
      <c r="AE73" s="1">
        <v>878</v>
      </c>
      <c r="AF73" s="1">
        <v>876</v>
      </c>
      <c r="AG73" s="2"/>
      <c r="AH73" s="2"/>
      <c r="AI73" s="2"/>
      <c r="AJ73" s="2"/>
      <c r="AK73" s="1">
        <v>1023</v>
      </c>
      <c r="AL73" s="1">
        <v>1033</v>
      </c>
      <c r="AM73" s="2"/>
      <c r="AN73" s="2"/>
      <c r="AO73" s="2"/>
      <c r="AP73" s="2"/>
      <c r="AQ73" s="2">
        <v>870</v>
      </c>
      <c r="AR73" s="2">
        <v>885</v>
      </c>
      <c r="AS73" s="83">
        <f t="shared" si="14"/>
        <v>3666</v>
      </c>
      <c r="AT73" s="83">
        <f t="shared" si="15"/>
        <v>3696</v>
      </c>
      <c r="AU73" s="81">
        <f t="shared" si="16"/>
        <v>0.99188311688311692</v>
      </c>
      <c r="AV73" s="162">
        <f t="shared" si="18"/>
        <v>0.98305084745762716</v>
      </c>
      <c r="AW73" s="162">
        <f>AV73</f>
        <v>0.98305084745762716</v>
      </c>
      <c r="AX73" s="172" t="s">
        <v>533</v>
      </c>
      <c r="AY73" s="104" t="s">
        <v>613</v>
      </c>
    </row>
    <row r="74" spans="1:51" s="105" customFormat="1" ht="77.25" customHeight="1" x14ac:dyDescent="0.25">
      <c r="B74" s="106" t="s">
        <v>676</v>
      </c>
      <c r="C74" s="65">
        <f t="shared" si="17"/>
        <v>62</v>
      </c>
      <c r="D74" s="1" t="s">
        <v>334</v>
      </c>
      <c r="E74" s="1" t="s">
        <v>335</v>
      </c>
      <c r="F74" s="1" t="s">
        <v>336</v>
      </c>
      <c r="G74" s="1" t="s">
        <v>367</v>
      </c>
      <c r="H74" s="1" t="s">
        <v>368</v>
      </c>
      <c r="I74" s="1" t="s">
        <v>339</v>
      </c>
      <c r="J74" s="1" t="s">
        <v>46</v>
      </c>
      <c r="K74" s="5" t="s">
        <v>28</v>
      </c>
      <c r="L74" s="1" t="s">
        <v>29</v>
      </c>
      <c r="M74" s="1" t="s">
        <v>69</v>
      </c>
      <c r="N74" s="1" t="s">
        <v>369</v>
      </c>
      <c r="O74" s="1" t="s">
        <v>370</v>
      </c>
      <c r="P74" s="1"/>
      <c r="Q74" s="1"/>
      <c r="R74" s="5" t="s">
        <v>214</v>
      </c>
      <c r="S74" s="5" t="s">
        <v>34</v>
      </c>
      <c r="T74" s="74">
        <v>0.9</v>
      </c>
      <c r="U74" s="1"/>
      <c r="V74" s="1"/>
      <c r="W74" s="1"/>
      <c r="X74" s="1"/>
      <c r="Y74" s="1">
        <v>536</v>
      </c>
      <c r="Z74" s="1">
        <v>536</v>
      </c>
      <c r="AA74" s="2"/>
      <c r="AB74" s="2"/>
      <c r="AC74" s="2"/>
      <c r="AD74" s="2"/>
      <c r="AE74" s="1">
        <v>370</v>
      </c>
      <c r="AF74" s="1">
        <v>370</v>
      </c>
      <c r="AG74" s="2"/>
      <c r="AH74" s="2"/>
      <c r="AI74" s="2"/>
      <c r="AJ74" s="2"/>
      <c r="AK74" s="2">
        <v>66</v>
      </c>
      <c r="AL74" s="2">
        <v>66</v>
      </c>
      <c r="AM74" s="2"/>
      <c r="AN74" s="2"/>
      <c r="AO74" s="2"/>
      <c r="AP74" s="2"/>
      <c r="AQ74" s="2">
        <v>10</v>
      </c>
      <c r="AR74" s="2">
        <v>11</v>
      </c>
      <c r="AS74" s="83">
        <f t="shared" si="14"/>
        <v>982</v>
      </c>
      <c r="AT74" s="83">
        <f t="shared" si="15"/>
        <v>983</v>
      </c>
      <c r="AU74" s="81">
        <f t="shared" si="16"/>
        <v>0.99898270600203454</v>
      </c>
      <c r="AV74" s="162">
        <f t="shared" si="18"/>
        <v>0.90909090909090906</v>
      </c>
      <c r="AW74" s="162">
        <f>AV74</f>
        <v>0.90909090909090906</v>
      </c>
      <c r="AX74" s="172" t="s">
        <v>533</v>
      </c>
      <c r="AY74" s="104" t="s">
        <v>613</v>
      </c>
    </row>
    <row r="75" spans="1:51" s="105" customFormat="1" ht="77.25" customHeight="1" x14ac:dyDescent="0.25">
      <c r="B75" s="106" t="s">
        <v>677</v>
      </c>
      <c r="C75" s="65">
        <f t="shared" si="17"/>
        <v>63</v>
      </c>
      <c r="D75" s="1" t="s">
        <v>402</v>
      </c>
      <c r="E75" s="1" t="s">
        <v>403</v>
      </c>
      <c r="F75" s="1" t="s">
        <v>404</v>
      </c>
      <c r="G75" s="1" t="s">
        <v>678</v>
      </c>
      <c r="H75" s="1" t="s">
        <v>406</v>
      </c>
      <c r="I75" s="1" t="s">
        <v>407</v>
      </c>
      <c r="J75" s="1" t="s">
        <v>53</v>
      </c>
      <c r="K75" s="5" t="s">
        <v>28</v>
      </c>
      <c r="L75" s="1" t="s">
        <v>29</v>
      </c>
      <c r="M75" s="1" t="s">
        <v>30</v>
      </c>
      <c r="N75" s="1" t="s">
        <v>408</v>
      </c>
      <c r="O75" s="1" t="s">
        <v>409</v>
      </c>
      <c r="P75" s="1"/>
      <c r="Q75" s="1"/>
      <c r="R75" s="5" t="s">
        <v>214</v>
      </c>
      <c r="S75" s="5" t="s">
        <v>34</v>
      </c>
      <c r="T75" s="74">
        <v>1</v>
      </c>
      <c r="U75" s="1">
        <v>16</v>
      </c>
      <c r="V75" s="1">
        <v>22</v>
      </c>
      <c r="W75" s="1">
        <v>17</v>
      </c>
      <c r="X75" s="1">
        <v>20</v>
      </c>
      <c r="Y75" s="1">
        <v>30</v>
      </c>
      <c r="Z75" s="1">
        <v>27</v>
      </c>
      <c r="AA75" s="5">
        <v>34</v>
      </c>
      <c r="AB75" s="5">
        <v>27</v>
      </c>
      <c r="AC75" s="5">
        <v>23</v>
      </c>
      <c r="AD75" s="5">
        <v>26</v>
      </c>
      <c r="AE75" s="5">
        <v>26</v>
      </c>
      <c r="AF75" s="5">
        <v>26</v>
      </c>
      <c r="AG75" s="5">
        <v>16</v>
      </c>
      <c r="AH75" s="5">
        <v>19</v>
      </c>
      <c r="AI75" s="5">
        <v>20</v>
      </c>
      <c r="AJ75" s="5">
        <v>21</v>
      </c>
      <c r="AK75" s="5">
        <v>28</v>
      </c>
      <c r="AL75" s="5">
        <v>33</v>
      </c>
      <c r="AM75" s="5">
        <v>22</v>
      </c>
      <c r="AN75" s="5">
        <v>14</v>
      </c>
      <c r="AO75" s="2">
        <v>22</v>
      </c>
      <c r="AP75" s="2">
        <v>23</v>
      </c>
      <c r="AQ75" s="2">
        <v>9</v>
      </c>
      <c r="AR75" s="2">
        <v>11</v>
      </c>
      <c r="AS75" s="83">
        <f t="shared" si="14"/>
        <v>263</v>
      </c>
      <c r="AT75" s="83">
        <f t="shared" si="15"/>
        <v>269</v>
      </c>
      <c r="AU75" s="81">
        <f t="shared" si="16"/>
        <v>0.97769516728624539</v>
      </c>
      <c r="AV75" s="162">
        <f>(AM75+AO75+AQ75)/(AN75+AP75+AR75)</f>
        <v>1.1041666666666667</v>
      </c>
      <c r="AW75" s="162">
        <f>AQ75/AR75</f>
        <v>0.81818181818181823</v>
      </c>
      <c r="AX75" s="172" t="s">
        <v>533</v>
      </c>
      <c r="AY75" s="104" t="s">
        <v>613</v>
      </c>
    </row>
    <row r="76" spans="1:51" s="105" customFormat="1" ht="77.25" customHeight="1" x14ac:dyDescent="0.25">
      <c r="B76" s="106" t="s">
        <v>680</v>
      </c>
      <c r="C76" s="65">
        <f t="shared" si="17"/>
        <v>64</v>
      </c>
      <c r="D76" s="1" t="s">
        <v>402</v>
      </c>
      <c r="E76" s="1" t="s">
        <v>403</v>
      </c>
      <c r="F76" s="1" t="s">
        <v>404</v>
      </c>
      <c r="G76" s="1" t="s">
        <v>411</v>
      </c>
      <c r="H76" s="1" t="s">
        <v>412</v>
      </c>
      <c r="I76" s="1" t="s">
        <v>407</v>
      </c>
      <c r="J76" s="1" t="s">
        <v>27</v>
      </c>
      <c r="K76" s="5" t="s">
        <v>28</v>
      </c>
      <c r="L76" s="1" t="s">
        <v>29</v>
      </c>
      <c r="M76" s="1" t="s">
        <v>30</v>
      </c>
      <c r="N76" s="1" t="s">
        <v>413</v>
      </c>
      <c r="O76" s="1" t="s">
        <v>414</v>
      </c>
      <c r="P76" s="1"/>
      <c r="Q76" s="1"/>
      <c r="R76" s="5" t="s">
        <v>214</v>
      </c>
      <c r="S76" s="5" t="s">
        <v>34</v>
      </c>
      <c r="T76" s="74">
        <v>1</v>
      </c>
      <c r="U76" s="1">
        <v>4</v>
      </c>
      <c r="V76" s="1">
        <v>4</v>
      </c>
      <c r="W76" s="1">
        <v>4</v>
      </c>
      <c r="X76" s="1">
        <v>4</v>
      </c>
      <c r="Y76" s="1">
        <v>4</v>
      </c>
      <c r="Z76" s="1">
        <v>4</v>
      </c>
      <c r="AA76" s="5">
        <v>4</v>
      </c>
      <c r="AB76" s="5">
        <v>4</v>
      </c>
      <c r="AC76" s="5">
        <v>4</v>
      </c>
      <c r="AD76" s="5">
        <v>4</v>
      </c>
      <c r="AE76" s="5">
        <v>4</v>
      </c>
      <c r="AF76" s="5">
        <v>4</v>
      </c>
      <c r="AG76" s="5">
        <v>4</v>
      </c>
      <c r="AH76" s="5">
        <v>4</v>
      </c>
      <c r="AI76" s="5">
        <v>4</v>
      </c>
      <c r="AJ76" s="5">
        <v>4</v>
      </c>
      <c r="AK76" s="5">
        <v>4</v>
      </c>
      <c r="AL76" s="5">
        <v>4</v>
      </c>
      <c r="AM76" s="5">
        <v>4</v>
      </c>
      <c r="AN76" s="5">
        <v>4</v>
      </c>
      <c r="AO76" s="5">
        <v>4</v>
      </c>
      <c r="AP76" s="5">
        <v>4</v>
      </c>
      <c r="AQ76" s="2">
        <v>4</v>
      </c>
      <c r="AR76" s="2">
        <v>4</v>
      </c>
      <c r="AS76" s="83">
        <f t="shared" si="14"/>
        <v>48</v>
      </c>
      <c r="AT76" s="83">
        <f t="shared" si="15"/>
        <v>48</v>
      </c>
      <c r="AU76" s="81">
        <f t="shared" si="16"/>
        <v>1</v>
      </c>
      <c r="AV76" s="162">
        <f>(AM76+AO76+AQ76)/(AN76+AP76+AR76)</f>
        <v>1</v>
      </c>
      <c r="AW76" s="162">
        <f>AM76/AN76</f>
        <v>1</v>
      </c>
      <c r="AX76" s="172" t="s">
        <v>533</v>
      </c>
      <c r="AY76" s="104" t="s">
        <v>613</v>
      </c>
    </row>
    <row r="77" spans="1:51" s="4" customFormat="1" ht="77.25" customHeight="1" x14ac:dyDescent="0.25">
      <c r="A77" s="105"/>
      <c r="B77" s="106" t="s">
        <v>681</v>
      </c>
      <c r="C77" s="65">
        <f t="shared" si="17"/>
        <v>65</v>
      </c>
      <c r="D77" s="1" t="s">
        <v>402</v>
      </c>
      <c r="E77" s="1" t="s">
        <v>403</v>
      </c>
      <c r="F77" s="1" t="s">
        <v>404</v>
      </c>
      <c r="G77" s="1" t="s">
        <v>416</v>
      </c>
      <c r="H77" s="1" t="s">
        <v>417</v>
      </c>
      <c r="I77" s="1" t="s">
        <v>407</v>
      </c>
      <c r="J77" s="1" t="s">
        <v>27</v>
      </c>
      <c r="K77" s="5" t="s">
        <v>28</v>
      </c>
      <c r="L77" s="1" t="s">
        <v>29</v>
      </c>
      <c r="M77" s="1" t="s">
        <v>30</v>
      </c>
      <c r="N77" s="1" t="s">
        <v>418</v>
      </c>
      <c r="O77" s="1" t="s">
        <v>419</v>
      </c>
      <c r="P77" s="1"/>
      <c r="Q77" s="1"/>
      <c r="R77" s="5" t="s">
        <v>214</v>
      </c>
      <c r="S77" s="5" t="s">
        <v>34</v>
      </c>
      <c r="T77" s="74">
        <v>1</v>
      </c>
      <c r="U77" s="1">
        <v>6</v>
      </c>
      <c r="V77" s="1">
        <v>8</v>
      </c>
      <c r="W77" s="1">
        <v>7</v>
      </c>
      <c r="X77" s="1">
        <v>7</v>
      </c>
      <c r="Y77" s="1">
        <v>7</v>
      </c>
      <c r="Z77" s="1">
        <v>8</v>
      </c>
      <c r="AA77" s="5">
        <v>7</v>
      </c>
      <c r="AB77" s="5">
        <v>7</v>
      </c>
      <c r="AC77" s="5">
        <v>6</v>
      </c>
      <c r="AD77" s="5">
        <v>7</v>
      </c>
      <c r="AE77" s="5">
        <v>6</v>
      </c>
      <c r="AF77" s="5">
        <v>6</v>
      </c>
      <c r="AG77" s="1">
        <v>5</v>
      </c>
      <c r="AH77" s="1">
        <v>6</v>
      </c>
      <c r="AI77" s="1">
        <v>6</v>
      </c>
      <c r="AJ77" s="1">
        <v>6</v>
      </c>
      <c r="AK77" s="1">
        <v>6</v>
      </c>
      <c r="AL77" s="1">
        <v>7</v>
      </c>
      <c r="AM77" s="5">
        <v>6</v>
      </c>
      <c r="AN77" s="5">
        <v>7</v>
      </c>
      <c r="AO77" s="180">
        <v>6</v>
      </c>
      <c r="AP77" s="180">
        <v>7</v>
      </c>
      <c r="AQ77" s="2">
        <v>6</v>
      </c>
      <c r="AR77" s="3">
        <v>6</v>
      </c>
      <c r="AS77" s="83">
        <f t="shared" si="14"/>
        <v>74</v>
      </c>
      <c r="AT77" s="83">
        <f t="shared" si="15"/>
        <v>82</v>
      </c>
      <c r="AU77" s="161">
        <f t="shared" si="16"/>
        <v>0.90243902439024393</v>
      </c>
      <c r="AV77" s="162">
        <f>(AM77+AO77+AQ77)/(AN77+AP77+AR77)</f>
        <v>0.9</v>
      </c>
      <c r="AW77" s="162">
        <f>AM77/AN77</f>
        <v>0.8571428571428571</v>
      </c>
      <c r="AX77" s="172" t="s">
        <v>533</v>
      </c>
      <c r="AY77" s="104" t="s">
        <v>679</v>
      </c>
    </row>
    <row r="78" spans="1:51" s="105" customFormat="1" ht="77.25" customHeight="1" x14ac:dyDescent="0.25">
      <c r="B78" s="106" t="s">
        <v>682</v>
      </c>
      <c r="C78" s="65">
        <f t="shared" si="17"/>
        <v>66</v>
      </c>
      <c r="D78" s="1" t="s">
        <v>402</v>
      </c>
      <c r="E78" s="1" t="s">
        <v>403</v>
      </c>
      <c r="F78" s="1" t="s">
        <v>404</v>
      </c>
      <c r="G78" s="1" t="s">
        <v>422</v>
      </c>
      <c r="H78" s="1" t="s">
        <v>423</v>
      </c>
      <c r="I78" s="1" t="s">
        <v>407</v>
      </c>
      <c r="J78" s="1" t="s">
        <v>27</v>
      </c>
      <c r="K78" s="5" t="s">
        <v>28</v>
      </c>
      <c r="L78" s="1" t="s">
        <v>29</v>
      </c>
      <c r="M78" s="1" t="s">
        <v>30</v>
      </c>
      <c r="N78" s="1" t="s">
        <v>683</v>
      </c>
      <c r="O78" s="1" t="s">
        <v>684</v>
      </c>
      <c r="P78" s="1"/>
      <c r="Q78" s="1"/>
      <c r="R78" s="5" t="s">
        <v>214</v>
      </c>
      <c r="S78" s="5" t="s">
        <v>34</v>
      </c>
      <c r="T78" s="74">
        <v>1</v>
      </c>
      <c r="U78" s="1">
        <v>4</v>
      </c>
      <c r="V78" s="1">
        <v>4</v>
      </c>
      <c r="W78" s="1">
        <v>4</v>
      </c>
      <c r="X78" s="1">
        <v>4</v>
      </c>
      <c r="Y78" s="1">
        <v>4</v>
      </c>
      <c r="Z78" s="5">
        <v>4</v>
      </c>
      <c r="AA78" s="5">
        <v>4</v>
      </c>
      <c r="AB78" s="5">
        <v>4</v>
      </c>
      <c r="AC78" s="5">
        <v>4</v>
      </c>
      <c r="AD78" s="5">
        <v>4</v>
      </c>
      <c r="AE78" s="5">
        <v>4</v>
      </c>
      <c r="AF78" s="5">
        <v>4</v>
      </c>
      <c r="AG78" s="5">
        <v>4</v>
      </c>
      <c r="AH78" s="5">
        <v>4</v>
      </c>
      <c r="AI78" s="5">
        <v>4</v>
      </c>
      <c r="AJ78" s="5">
        <v>4</v>
      </c>
      <c r="AK78" s="5">
        <v>4</v>
      </c>
      <c r="AL78" s="5">
        <v>4</v>
      </c>
      <c r="AM78" s="5">
        <v>4</v>
      </c>
      <c r="AN78" s="5">
        <v>4</v>
      </c>
      <c r="AO78" s="5">
        <v>4</v>
      </c>
      <c r="AP78" s="5">
        <v>4</v>
      </c>
      <c r="AQ78" s="5">
        <v>4</v>
      </c>
      <c r="AR78" s="2">
        <v>4</v>
      </c>
      <c r="AS78" s="83">
        <f t="shared" si="14"/>
        <v>48</v>
      </c>
      <c r="AT78" s="83">
        <f t="shared" si="15"/>
        <v>48</v>
      </c>
      <c r="AU78" s="161">
        <f t="shared" si="16"/>
        <v>1</v>
      </c>
      <c r="AV78" s="162">
        <f>(AM78+AO78+AQ78)/(AN78+AP78+AR78)</f>
        <v>1</v>
      </c>
      <c r="AW78" s="162">
        <f>AM78/AN78</f>
        <v>1</v>
      </c>
      <c r="AX78" s="81" t="s">
        <v>533</v>
      </c>
      <c r="AY78" s="104" t="s">
        <v>679</v>
      </c>
    </row>
    <row r="79" spans="1:51" s="105" customFormat="1" ht="29.25" hidden="1" customHeight="1" x14ac:dyDescent="0.25">
      <c r="B79" s="106"/>
      <c r="C79" s="65">
        <f t="shared" si="17"/>
        <v>67</v>
      </c>
      <c r="D79" s="1" t="s">
        <v>334</v>
      </c>
      <c r="E79" s="1" t="s">
        <v>335</v>
      </c>
      <c r="F79" s="1" t="s">
        <v>336</v>
      </c>
      <c r="G79" s="1" t="s">
        <v>443</v>
      </c>
      <c r="H79" s="1" t="s">
        <v>444</v>
      </c>
      <c r="I79" s="1" t="s">
        <v>339</v>
      </c>
      <c r="J79" s="1" t="s">
        <v>46</v>
      </c>
      <c r="K79" s="1" t="s">
        <v>133</v>
      </c>
      <c r="L79" s="1" t="s">
        <v>29</v>
      </c>
      <c r="M79" s="1" t="s">
        <v>143</v>
      </c>
      <c r="N79" s="1" t="s">
        <v>445</v>
      </c>
      <c r="O79" s="1" t="s">
        <v>446</v>
      </c>
      <c r="P79" s="1"/>
      <c r="Q79" s="1"/>
      <c r="R79" s="5" t="s">
        <v>159</v>
      </c>
      <c r="S79" s="5" t="s">
        <v>86</v>
      </c>
      <c r="T79" s="74"/>
      <c r="U79" s="1"/>
      <c r="V79" s="1"/>
      <c r="W79" s="1"/>
      <c r="X79" s="1"/>
      <c r="Y79" s="1"/>
      <c r="Z79" s="1"/>
      <c r="AA79" s="2"/>
      <c r="AB79" s="2"/>
      <c r="AC79" s="2"/>
      <c r="AD79" s="2"/>
      <c r="AE79" s="2"/>
      <c r="AF79" s="2"/>
      <c r="AG79" s="2"/>
      <c r="AH79" s="2"/>
      <c r="AI79" s="2"/>
      <c r="AJ79" s="2"/>
      <c r="AK79" s="2"/>
      <c r="AL79" s="2"/>
      <c r="AM79" s="2"/>
      <c r="AN79" s="2"/>
      <c r="AO79" s="2"/>
      <c r="AP79" s="2"/>
      <c r="AQ79" s="2"/>
      <c r="AR79" s="2"/>
      <c r="AS79" s="165"/>
      <c r="AT79" s="165"/>
      <c r="AU79" s="165"/>
      <c r="AV79" s="165"/>
      <c r="AW79" s="165"/>
      <c r="AX79" s="81"/>
      <c r="AY79" s="104"/>
    </row>
    <row r="80" spans="1:51" s="105" customFormat="1" ht="67.5" customHeight="1" x14ac:dyDescent="0.25">
      <c r="A80" s="4"/>
      <c r="B80" s="106" t="s">
        <v>685</v>
      </c>
      <c r="C80" s="65">
        <f>C78+1</f>
        <v>67</v>
      </c>
      <c r="D80" s="5" t="s">
        <v>425</v>
      </c>
      <c r="E80" s="5" t="s">
        <v>426</v>
      </c>
      <c r="F80" s="5" t="s">
        <v>427</v>
      </c>
      <c r="G80" s="5" t="s">
        <v>686</v>
      </c>
      <c r="H80" s="5" t="s">
        <v>687</v>
      </c>
      <c r="I80" s="5" t="s">
        <v>430</v>
      </c>
      <c r="J80" s="5" t="s">
        <v>27</v>
      </c>
      <c r="K80" s="5" t="s">
        <v>28</v>
      </c>
      <c r="L80" s="5" t="s">
        <v>29</v>
      </c>
      <c r="M80" s="5" t="s">
        <v>240</v>
      </c>
      <c r="N80" s="5" t="s">
        <v>688</v>
      </c>
      <c r="O80" s="5" t="s">
        <v>689</v>
      </c>
      <c r="P80" s="5"/>
      <c r="Q80" s="5"/>
      <c r="R80" s="5" t="s">
        <v>268</v>
      </c>
      <c r="S80" s="5" t="s">
        <v>34</v>
      </c>
      <c r="T80" s="74">
        <v>1</v>
      </c>
      <c r="U80" s="5"/>
      <c r="V80" s="5"/>
      <c r="W80" s="5"/>
      <c r="X80" s="5"/>
      <c r="Y80" s="177">
        <v>16.27</v>
      </c>
      <c r="Z80" s="170">
        <v>24</v>
      </c>
      <c r="AA80" s="1"/>
      <c r="AB80" s="1"/>
      <c r="AC80" s="1"/>
      <c r="AD80" s="1"/>
      <c r="AE80" s="170">
        <v>17.45</v>
      </c>
      <c r="AF80" s="170">
        <v>23</v>
      </c>
      <c r="AG80" s="1"/>
      <c r="AH80" s="2"/>
      <c r="AI80" s="2"/>
      <c r="AJ80" s="2"/>
      <c r="AK80" s="170">
        <v>19.91</v>
      </c>
      <c r="AL80" s="170">
        <v>22</v>
      </c>
      <c r="AM80" s="2"/>
      <c r="AN80" s="2"/>
      <c r="AO80" s="2"/>
      <c r="AP80" s="2"/>
      <c r="AQ80" s="197">
        <v>23.14</v>
      </c>
      <c r="AR80" s="5">
        <v>24</v>
      </c>
      <c r="AS80" s="83">
        <f t="shared" ref="AS80:AS90" si="19">U80+W80+Y80+AA80+AC80+AE80+AG80+AI80+AK80+AM80+AO80+AQ80</f>
        <v>76.77</v>
      </c>
      <c r="AT80" s="83">
        <f t="shared" ref="AT80:AT90" si="20">V80+X80+Z80+AB80+AD80+AF80+AH80+AJ80+AL80+AN80+AP80+AR80</f>
        <v>93</v>
      </c>
      <c r="AU80" s="161">
        <f t="shared" ref="AU80:AU89" si="21">AS80/AT80</f>
        <v>0.8254838709677419</v>
      </c>
      <c r="AV80" s="162">
        <f>AQ80/AR80</f>
        <v>0.96416666666666673</v>
      </c>
      <c r="AW80" s="162">
        <v>0.96416666666666673</v>
      </c>
      <c r="AX80" s="172" t="s">
        <v>533</v>
      </c>
      <c r="AY80" s="104" t="s">
        <v>613</v>
      </c>
    </row>
    <row r="81" spans="2:51" s="105" customFormat="1" ht="71.25" customHeight="1" x14ac:dyDescent="0.25">
      <c r="B81" s="106" t="s">
        <v>690</v>
      </c>
      <c r="C81" s="65">
        <f t="shared" ref="C81:C92" si="22">C80+1</f>
        <v>68</v>
      </c>
      <c r="D81" s="1" t="s">
        <v>322</v>
      </c>
      <c r="E81" s="1" t="s">
        <v>323</v>
      </c>
      <c r="F81" s="1" t="s">
        <v>436</v>
      </c>
      <c r="G81" s="1" t="s">
        <v>437</v>
      </c>
      <c r="H81" s="1" t="s">
        <v>438</v>
      </c>
      <c r="I81" s="1" t="s">
        <v>439</v>
      </c>
      <c r="J81" s="1" t="s">
        <v>27</v>
      </c>
      <c r="K81" s="5" t="s">
        <v>28</v>
      </c>
      <c r="L81" s="1" t="s">
        <v>29</v>
      </c>
      <c r="M81" s="1" t="s">
        <v>30</v>
      </c>
      <c r="N81" s="1" t="s">
        <v>440</v>
      </c>
      <c r="O81" s="1" t="s">
        <v>441</v>
      </c>
      <c r="P81" s="1"/>
      <c r="Q81" s="1"/>
      <c r="R81" s="5" t="s">
        <v>214</v>
      </c>
      <c r="S81" s="5" t="s">
        <v>34</v>
      </c>
      <c r="T81" s="74">
        <v>1</v>
      </c>
      <c r="U81" s="105">
        <v>2065</v>
      </c>
      <c r="V81" s="1">
        <v>2100</v>
      </c>
      <c r="W81" s="1">
        <v>3021</v>
      </c>
      <c r="X81" s="1">
        <v>2950</v>
      </c>
      <c r="Y81" s="1">
        <v>1790</v>
      </c>
      <c r="Z81" s="1">
        <v>1899</v>
      </c>
      <c r="AA81" s="1">
        <v>1660</v>
      </c>
      <c r="AB81" s="5">
        <v>1439</v>
      </c>
      <c r="AC81" s="5">
        <v>1290</v>
      </c>
      <c r="AD81" s="5">
        <v>1361</v>
      </c>
      <c r="AE81" s="5">
        <v>1487</v>
      </c>
      <c r="AF81" s="5">
        <v>1479</v>
      </c>
      <c r="AG81" s="5">
        <v>1938</v>
      </c>
      <c r="AH81" s="5">
        <v>1869</v>
      </c>
      <c r="AI81" s="5">
        <v>1763</v>
      </c>
      <c r="AJ81" s="5">
        <v>1849</v>
      </c>
      <c r="AK81" s="5">
        <v>1391</v>
      </c>
      <c r="AL81" s="5">
        <v>1359</v>
      </c>
      <c r="AM81" s="5">
        <v>1504</v>
      </c>
      <c r="AN81" s="5">
        <v>1337</v>
      </c>
      <c r="AO81" s="5">
        <v>1338</v>
      </c>
      <c r="AP81" s="5">
        <v>1446</v>
      </c>
      <c r="AQ81" s="5">
        <v>1405</v>
      </c>
      <c r="AR81" s="5">
        <v>1325</v>
      </c>
      <c r="AS81" s="83">
        <f t="shared" si="19"/>
        <v>20652</v>
      </c>
      <c r="AT81" s="83">
        <f t="shared" si="20"/>
        <v>20413</v>
      </c>
      <c r="AU81" s="161">
        <f t="shared" si="21"/>
        <v>1.0117082251506393</v>
      </c>
      <c r="AV81" s="162">
        <f t="shared" ref="AV81:AV86" si="23">(AM81+AO81+AQ81)/(AN81+AP81+AR81)</f>
        <v>1.0338364167478091</v>
      </c>
      <c r="AW81" s="162">
        <f t="shared" ref="AW81:AW89" si="24">AQ81/AR81</f>
        <v>1.060377358490566</v>
      </c>
      <c r="AX81" s="81" t="s">
        <v>533</v>
      </c>
      <c r="AY81" s="104" t="s">
        <v>613</v>
      </c>
    </row>
    <row r="82" spans="2:51" s="105" customFormat="1" ht="77.25" customHeight="1" x14ac:dyDescent="0.25">
      <c r="B82" s="106" t="s">
        <v>691</v>
      </c>
      <c r="C82" s="65">
        <f t="shared" si="22"/>
        <v>69</v>
      </c>
      <c r="D82" s="1" t="s">
        <v>322</v>
      </c>
      <c r="E82" s="1" t="s">
        <v>323</v>
      </c>
      <c r="F82" s="1" t="s">
        <v>436</v>
      </c>
      <c r="G82" s="1" t="s">
        <v>447</v>
      </c>
      <c r="H82" s="1" t="s">
        <v>448</v>
      </c>
      <c r="I82" s="1" t="s">
        <v>439</v>
      </c>
      <c r="J82" s="1" t="s">
        <v>27</v>
      </c>
      <c r="K82" s="5" t="s">
        <v>28</v>
      </c>
      <c r="L82" s="1" t="s">
        <v>29</v>
      </c>
      <c r="M82" s="1" t="s">
        <v>30</v>
      </c>
      <c r="N82" s="1" t="s">
        <v>449</v>
      </c>
      <c r="O82" s="1" t="s">
        <v>450</v>
      </c>
      <c r="P82" s="1"/>
      <c r="Q82" s="1"/>
      <c r="R82" s="5" t="s">
        <v>214</v>
      </c>
      <c r="S82" s="5" t="s">
        <v>34</v>
      </c>
      <c r="T82" s="74">
        <v>1</v>
      </c>
      <c r="U82" s="1">
        <v>2064</v>
      </c>
      <c r="V82" s="1">
        <v>2065</v>
      </c>
      <c r="W82" s="1">
        <v>3019</v>
      </c>
      <c r="X82" s="1">
        <v>3021</v>
      </c>
      <c r="Y82" s="1">
        <v>1895</v>
      </c>
      <c r="Z82" s="1">
        <v>1899</v>
      </c>
      <c r="AA82" s="1">
        <v>1657</v>
      </c>
      <c r="AB82" s="1">
        <v>1660</v>
      </c>
      <c r="AC82" s="5">
        <v>1281</v>
      </c>
      <c r="AD82" s="5">
        <v>1290</v>
      </c>
      <c r="AE82" s="5">
        <v>1483</v>
      </c>
      <c r="AF82" s="5">
        <v>1487</v>
      </c>
      <c r="AG82" s="5">
        <v>1932</v>
      </c>
      <c r="AH82" s="5">
        <v>1938</v>
      </c>
      <c r="AI82" s="5">
        <v>1760</v>
      </c>
      <c r="AJ82" s="5">
        <v>1763</v>
      </c>
      <c r="AK82" s="5">
        <v>1388</v>
      </c>
      <c r="AL82" s="5">
        <v>1391</v>
      </c>
      <c r="AM82" s="5">
        <v>1335</v>
      </c>
      <c r="AN82" s="5">
        <v>1504</v>
      </c>
      <c r="AO82" s="5">
        <v>1331</v>
      </c>
      <c r="AP82" s="5">
        <v>1338</v>
      </c>
      <c r="AQ82" s="5">
        <v>1402</v>
      </c>
      <c r="AR82" s="5">
        <v>1405</v>
      </c>
      <c r="AS82" s="83">
        <f t="shared" si="19"/>
        <v>20547</v>
      </c>
      <c r="AT82" s="83">
        <f t="shared" si="20"/>
        <v>20761</v>
      </c>
      <c r="AU82" s="161">
        <f t="shared" si="21"/>
        <v>0.98969221135783436</v>
      </c>
      <c r="AV82" s="162">
        <f t="shared" si="23"/>
        <v>0.95785260183659049</v>
      </c>
      <c r="AW82" s="162">
        <f t="shared" si="24"/>
        <v>0.99786476868327401</v>
      </c>
      <c r="AX82" s="81" t="s">
        <v>533</v>
      </c>
      <c r="AY82" s="104" t="s">
        <v>613</v>
      </c>
    </row>
    <row r="83" spans="2:51" s="105" customFormat="1" ht="77.25" customHeight="1" x14ac:dyDescent="0.25">
      <c r="B83" s="106" t="s">
        <v>692</v>
      </c>
      <c r="C83" s="65">
        <f t="shared" si="22"/>
        <v>70</v>
      </c>
      <c r="D83" s="1" t="s">
        <v>322</v>
      </c>
      <c r="E83" s="1" t="s">
        <v>323</v>
      </c>
      <c r="F83" s="1" t="s">
        <v>452</v>
      </c>
      <c r="G83" s="1" t="s">
        <v>453</v>
      </c>
      <c r="H83" s="1" t="s">
        <v>454</v>
      </c>
      <c r="I83" s="1" t="s">
        <v>439</v>
      </c>
      <c r="J83" s="1" t="s">
        <v>27</v>
      </c>
      <c r="K83" s="5" t="s">
        <v>28</v>
      </c>
      <c r="L83" s="1" t="s">
        <v>29</v>
      </c>
      <c r="M83" s="1" t="s">
        <v>30</v>
      </c>
      <c r="N83" s="1" t="s">
        <v>455</v>
      </c>
      <c r="O83" s="1" t="s">
        <v>456</v>
      </c>
      <c r="P83" s="1"/>
      <c r="Q83" s="1"/>
      <c r="R83" s="5" t="s">
        <v>214</v>
      </c>
      <c r="S83" s="5" t="s">
        <v>34</v>
      </c>
      <c r="T83" s="74">
        <v>1</v>
      </c>
      <c r="U83" s="1">
        <v>57</v>
      </c>
      <c r="V83" s="1">
        <v>62</v>
      </c>
      <c r="W83" s="1">
        <v>126</v>
      </c>
      <c r="X83" s="1">
        <v>131</v>
      </c>
      <c r="Y83" s="1">
        <v>178</v>
      </c>
      <c r="Z83" s="1">
        <v>167</v>
      </c>
      <c r="AA83" s="5">
        <v>106</v>
      </c>
      <c r="AB83" s="5">
        <v>121</v>
      </c>
      <c r="AC83" s="5">
        <v>45</v>
      </c>
      <c r="AD83" s="5">
        <v>60</v>
      </c>
      <c r="AE83" s="5">
        <v>69</v>
      </c>
      <c r="AF83" s="5">
        <v>48</v>
      </c>
      <c r="AG83" s="5">
        <v>43</v>
      </c>
      <c r="AH83" s="5">
        <v>28</v>
      </c>
      <c r="AI83" s="5">
        <v>37</v>
      </c>
      <c r="AJ83" s="5">
        <v>33</v>
      </c>
      <c r="AK83" s="5">
        <v>14</v>
      </c>
      <c r="AL83" s="5">
        <v>14</v>
      </c>
      <c r="AM83" s="5">
        <v>45</v>
      </c>
      <c r="AN83" s="5">
        <v>55</v>
      </c>
      <c r="AO83" s="5">
        <v>231</v>
      </c>
      <c r="AP83" s="5">
        <v>284</v>
      </c>
      <c r="AQ83" s="5">
        <v>189</v>
      </c>
      <c r="AR83" s="5">
        <v>138</v>
      </c>
      <c r="AS83" s="83">
        <f t="shared" si="19"/>
        <v>1140</v>
      </c>
      <c r="AT83" s="83">
        <f t="shared" si="20"/>
        <v>1141</v>
      </c>
      <c r="AU83" s="161">
        <f t="shared" si="21"/>
        <v>0.99912357581069233</v>
      </c>
      <c r="AV83" s="162">
        <f t="shared" si="23"/>
        <v>0.97484276729559749</v>
      </c>
      <c r="AW83" s="162">
        <f t="shared" si="24"/>
        <v>1.3695652173913044</v>
      </c>
      <c r="AX83" s="81" t="s">
        <v>533</v>
      </c>
      <c r="AY83" s="104" t="s">
        <v>613</v>
      </c>
    </row>
    <row r="84" spans="2:51" s="105" customFormat="1" ht="84.75" customHeight="1" x14ac:dyDescent="0.25">
      <c r="B84" s="106" t="s">
        <v>693</v>
      </c>
      <c r="C84" s="65">
        <f t="shared" si="22"/>
        <v>71</v>
      </c>
      <c r="D84" s="1" t="s">
        <v>322</v>
      </c>
      <c r="E84" s="1" t="s">
        <v>323</v>
      </c>
      <c r="F84" s="1" t="s">
        <v>436</v>
      </c>
      <c r="G84" s="1" t="s">
        <v>457</v>
      </c>
      <c r="H84" s="1" t="s">
        <v>458</v>
      </c>
      <c r="I84" s="1" t="s">
        <v>439</v>
      </c>
      <c r="J84" s="1" t="s">
        <v>27</v>
      </c>
      <c r="K84" s="5" t="s">
        <v>28</v>
      </c>
      <c r="L84" s="1" t="s">
        <v>29</v>
      </c>
      <c r="M84" s="1" t="s">
        <v>30</v>
      </c>
      <c r="N84" s="1" t="s">
        <v>459</v>
      </c>
      <c r="O84" s="1" t="s">
        <v>460</v>
      </c>
      <c r="P84" s="1"/>
      <c r="Q84" s="1"/>
      <c r="R84" s="5" t="s">
        <v>214</v>
      </c>
      <c r="S84" s="5" t="s">
        <v>34</v>
      </c>
      <c r="T84" s="74">
        <v>1</v>
      </c>
      <c r="U84" s="1">
        <v>2008</v>
      </c>
      <c r="V84" s="1">
        <v>2038</v>
      </c>
      <c r="W84" s="1">
        <v>2895</v>
      </c>
      <c r="X84" s="1">
        <v>2819</v>
      </c>
      <c r="Y84" s="1">
        <v>1612</v>
      </c>
      <c r="Z84" s="1">
        <v>1732</v>
      </c>
      <c r="AA84" s="5">
        <v>1554</v>
      </c>
      <c r="AB84" s="5">
        <v>1318</v>
      </c>
      <c r="AC84" s="5">
        <v>1245</v>
      </c>
      <c r="AD84" s="5">
        <v>1301</v>
      </c>
      <c r="AE84" s="5">
        <v>1418</v>
      </c>
      <c r="AF84" s="5">
        <v>1431</v>
      </c>
      <c r="AG84" s="5">
        <v>1895</v>
      </c>
      <c r="AH84" s="5">
        <v>1841</v>
      </c>
      <c r="AI84" s="5">
        <v>1726</v>
      </c>
      <c r="AJ84" s="5">
        <v>1816</v>
      </c>
      <c r="AK84" s="5">
        <v>1377</v>
      </c>
      <c r="AL84" s="5">
        <v>1345</v>
      </c>
      <c r="AM84" s="5">
        <v>1459</v>
      </c>
      <c r="AN84" s="5">
        <v>1282</v>
      </c>
      <c r="AO84" s="5">
        <v>1107</v>
      </c>
      <c r="AP84" s="5">
        <v>1162</v>
      </c>
      <c r="AQ84" s="5">
        <v>1216</v>
      </c>
      <c r="AR84" s="5">
        <v>1187</v>
      </c>
      <c r="AS84" s="83">
        <f t="shared" si="19"/>
        <v>19512</v>
      </c>
      <c r="AT84" s="83">
        <f t="shared" si="20"/>
        <v>19272</v>
      </c>
      <c r="AU84" s="161">
        <f t="shared" si="21"/>
        <v>1.0124533001245331</v>
      </c>
      <c r="AV84" s="162">
        <f t="shared" si="23"/>
        <v>1.0415863398512806</v>
      </c>
      <c r="AW84" s="162">
        <f t="shared" si="24"/>
        <v>1.0244313395113731</v>
      </c>
      <c r="AX84" s="81" t="s">
        <v>533</v>
      </c>
      <c r="AY84" s="104" t="s">
        <v>613</v>
      </c>
    </row>
    <row r="85" spans="2:51" s="105" customFormat="1" ht="84.75" customHeight="1" x14ac:dyDescent="0.25">
      <c r="B85" s="106" t="s">
        <v>694</v>
      </c>
      <c r="C85" s="65">
        <f t="shared" si="22"/>
        <v>72</v>
      </c>
      <c r="D85" s="1" t="s">
        <v>322</v>
      </c>
      <c r="E85" s="1" t="s">
        <v>323</v>
      </c>
      <c r="F85" s="1" t="s">
        <v>436</v>
      </c>
      <c r="G85" s="1" t="s">
        <v>461</v>
      </c>
      <c r="H85" s="1" t="s">
        <v>462</v>
      </c>
      <c r="I85" s="1" t="s">
        <v>439</v>
      </c>
      <c r="J85" s="1" t="s">
        <v>27</v>
      </c>
      <c r="K85" s="5" t="s">
        <v>28</v>
      </c>
      <c r="L85" s="1" t="s">
        <v>29</v>
      </c>
      <c r="M85" s="1" t="s">
        <v>30</v>
      </c>
      <c r="N85" s="1" t="s">
        <v>463</v>
      </c>
      <c r="O85" s="1" t="s">
        <v>464</v>
      </c>
      <c r="P85" s="1"/>
      <c r="Q85" s="1"/>
      <c r="R85" s="5" t="s">
        <v>214</v>
      </c>
      <c r="S85" s="5" t="s">
        <v>34</v>
      </c>
      <c r="T85" s="74">
        <v>1</v>
      </c>
      <c r="U85" s="1">
        <v>3</v>
      </c>
      <c r="V85" s="1">
        <v>3</v>
      </c>
      <c r="W85" s="1">
        <v>6</v>
      </c>
      <c r="X85" s="1">
        <v>6</v>
      </c>
      <c r="Y85" s="1">
        <v>14</v>
      </c>
      <c r="Z85" s="1">
        <v>15</v>
      </c>
      <c r="AA85" s="5">
        <v>5</v>
      </c>
      <c r="AB85" s="5">
        <v>5</v>
      </c>
      <c r="AC85" s="5">
        <v>8</v>
      </c>
      <c r="AD85" s="5">
        <v>8</v>
      </c>
      <c r="AE85" s="5">
        <v>11</v>
      </c>
      <c r="AF85" s="5">
        <v>11</v>
      </c>
      <c r="AG85" s="5">
        <v>8</v>
      </c>
      <c r="AH85" s="5">
        <v>8</v>
      </c>
      <c r="AI85" s="5">
        <v>2</v>
      </c>
      <c r="AJ85" s="5">
        <v>2</v>
      </c>
      <c r="AK85" s="5">
        <v>8</v>
      </c>
      <c r="AL85" s="5">
        <v>8</v>
      </c>
      <c r="AM85" s="5">
        <v>6</v>
      </c>
      <c r="AN85" s="5">
        <v>6</v>
      </c>
      <c r="AO85" s="5">
        <v>6</v>
      </c>
      <c r="AP85" s="5">
        <v>6</v>
      </c>
      <c r="AQ85" s="5">
        <v>4</v>
      </c>
      <c r="AR85" s="5">
        <v>4</v>
      </c>
      <c r="AS85" s="165">
        <f t="shared" si="19"/>
        <v>81</v>
      </c>
      <c r="AT85" s="165">
        <f t="shared" si="20"/>
        <v>82</v>
      </c>
      <c r="AU85" s="161">
        <f t="shared" si="21"/>
        <v>0.98780487804878048</v>
      </c>
      <c r="AV85" s="162">
        <f t="shared" si="23"/>
        <v>1</v>
      </c>
      <c r="AW85" s="162">
        <f t="shared" si="24"/>
        <v>1</v>
      </c>
      <c r="AX85" s="81" t="s">
        <v>533</v>
      </c>
      <c r="AY85" s="104" t="s">
        <v>613</v>
      </c>
    </row>
    <row r="86" spans="2:51" s="105" customFormat="1" ht="51.75" customHeight="1" x14ac:dyDescent="0.25">
      <c r="B86" s="106" t="s">
        <v>695</v>
      </c>
      <c r="C86" s="65">
        <f t="shared" si="22"/>
        <v>73</v>
      </c>
      <c r="D86" s="1" t="s">
        <v>322</v>
      </c>
      <c r="E86" s="1" t="s">
        <v>323</v>
      </c>
      <c r="F86" s="1" t="s">
        <v>436</v>
      </c>
      <c r="G86" s="1" t="s">
        <v>466</v>
      </c>
      <c r="H86" s="1" t="s">
        <v>467</v>
      </c>
      <c r="I86" s="1" t="s">
        <v>439</v>
      </c>
      <c r="J86" s="1" t="s">
        <v>27</v>
      </c>
      <c r="K86" s="5" t="s">
        <v>28</v>
      </c>
      <c r="L86" s="1" t="s">
        <v>29</v>
      </c>
      <c r="M86" s="1" t="s">
        <v>30</v>
      </c>
      <c r="N86" s="1" t="s">
        <v>468</v>
      </c>
      <c r="O86" s="1" t="s">
        <v>469</v>
      </c>
      <c r="P86" s="1"/>
      <c r="Q86" s="1"/>
      <c r="R86" s="5" t="s">
        <v>214</v>
      </c>
      <c r="S86" s="5" t="s">
        <v>34</v>
      </c>
      <c r="T86" s="74">
        <v>1</v>
      </c>
      <c r="U86" s="1">
        <v>3</v>
      </c>
      <c r="V86" s="1">
        <v>3</v>
      </c>
      <c r="W86" s="1">
        <v>6</v>
      </c>
      <c r="X86" s="1">
        <v>6</v>
      </c>
      <c r="Y86" s="1">
        <v>14</v>
      </c>
      <c r="Z86" s="1">
        <v>14</v>
      </c>
      <c r="AA86" s="5">
        <v>5</v>
      </c>
      <c r="AB86" s="5">
        <v>5</v>
      </c>
      <c r="AC86" s="5">
        <v>8</v>
      </c>
      <c r="AD86" s="5">
        <v>8</v>
      </c>
      <c r="AE86" s="5">
        <v>11</v>
      </c>
      <c r="AF86" s="5">
        <v>11</v>
      </c>
      <c r="AG86" s="5">
        <v>8</v>
      </c>
      <c r="AH86" s="5">
        <v>8</v>
      </c>
      <c r="AI86" s="5">
        <v>2</v>
      </c>
      <c r="AJ86" s="5">
        <v>2</v>
      </c>
      <c r="AK86" s="5">
        <v>8</v>
      </c>
      <c r="AL86" s="5">
        <v>8</v>
      </c>
      <c r="AM86" s="5">
        <v>6</v>
      </c>
      <c r="AN86" s="5">
        <v>6</v>
      </c>
      <c r="AO86" s="5">
        <v>6</v>
      </c>
      <c r="AP86" s="5">
        <v>6</v>
      </c>
      <c r="AQ86" s="5">
        <v>4</v>
      </c>
      <c r="AR86" s="5">
        <v>4</v>
      </c>
      <c r="AS86" s="165">
        <f t="shared" si="19"/>
        <v>81</v>
      </c>
      <c r="AT86" s="165">
        <f t="shared" si="20"/>
        <v>81</v>
      </c>
      <c r="AU86" s="161">
        <f t="shared" si="21"/>
        <v>1</v>
      </c>
      <c r="AV86" s="162">
        <f t="shared" si="23"/>
        <v>1</v>
      </c>
      <c r="AW86" s="162">
        <f t="shared" si="24"/>
        <v>1</v>
      </c>
      <c r="AX86" s="81" t="s">
        <v>533</v>
      </c>
      <c r="AY86" s="104" t="s">
        <v>613</v>
      </c>
    </row>
    <row r="87" spans="2:51" s="105" customFormat="1" ht="51.75" customHeight="1" x14ac:dyDescent="0.25">
      <c r="B87" s="106" t="s">
        <v>696</v>
      </c>
      <c r="C87" s="65">
        <f t="shared" si="22"/>
        <v>74</v>
      </c>
      <c r="D87" s="1" t="s">
        <v>471</v>
      </c>
      <c r="E87" s="1" t="s">
        <v>472</v>
      </c>
      <c r="F87" s="1" t="s">
        <v>473</v>
      </c>
      <c r="G87" s="1" t="s">
        <v>474</v>
      </c>
      <c r="H87" s="1" t="s">
        <v>475</v>
      </c>
      <c r="I87" s="1" t="s">
        <v>476</v>
      </c>
      <c r="J87" s="1" t="s">
        <v>27</v>
      </c>
      <c r="K87" s="1" t="s">
        <v>133</v>
      </c>
      <c r="L87" s="1" t="s">
        <v>29</v>
      </c>
      <c r="M87" s="1" t="s">
        <v>69</v>
      </c>
      <c r="N87" s="1" t="s">
        <v>477</v>
      </c>
      <c r="O87" s="1" t="s">
        <v>478</v>
      </c>
      <c r="P87" s="1"/>
      <c r="Q87" s="1"/>
      <c r="R87" s="5" t="s">
        <v>214</v>
      </c>
      <c r="S87" s="5" t="s">
        <v>34</v>
      </c>
      <c r="T87" s="74" t="s">
        <v>697</v>
      </c>
      <c r="U87" s="1"/>
      <c r="V87" s="5"/>
      <c r="W87" s="5"/>
      <c r="X87" s="5"/>
      <c r="Y87" s="5">
        <v>16</v>
      </c>
      <c r="Z87" s="5">
        <v>698</v>
      </c>
      <c r="AA87" s="5"/>
      <c r="AB87" s="5"/>
      <c r="AC87" s="5"/>
      <c r="AD87" s="5"/>
      <c r="AE87" s="5">
        <v>3</v>
      </c>
      <c r="AF87" s="5">
        <v>356</v>
      </c>
      <c r="AG87" s="5"/>
      <c r="AH87" s="5"/>
      <c r="AI87" s="5"/>
      <c r="AJ87" s="5"/>
      <c r="AK87" s="2">
        <v>33</v>
      </c>
      <c r="AL87" s="2">
        <v>510</v>
      </c>
      <c r="AM87" s="2"/>
      <c r="AN87" s="2"/>
      <c r="AO87" s="2"/>
      <c r="AP87" s="2"/>
      <c r="AQ87" s="5">
        <v>21</v>
      </c>
      <c r="AR87" s="5">
        <v>41</v>
      </c>
      <c r="AS87" s="83">
        <f t="shared" si="19"/>
        <v>73</v>
      </c>
      <c r="AT87" s="83">
        <f t="shared" si="20"/>
        <v>1605</v>
      </c>
      <c r="AU87" s="161">
        <f t="shared" si="21"/>
        <v>4.5482866043613707E-2</v>
      </c>
      <c r="AV87" s="162">
        <f>AQ87/AR87</f>
        <v>0.51219512195121952</v>
      </c>
      <c r="AW87" s="161">
        <f t="shared" si="24"/>
        <v>0.51219512195121952</v>
      </c>
      <c r="AX87" s="81" t="s">
        <v>1291</v>
      </c>
      <c r="AY87" s="104" t="s">
        <v>1293</v>
      </c>
    </row>
    <row r="88" spans="2:51" s="105" customFormat="1" ht="122.25" customHeight="1" x14ac:dyDescent="0.25">
      <c r="B88" s="106" t="s">
        <v>698</v>
      </c>
      <c r="C88" s="65">
        <f t="shared" si="22"/>
        <v>75</v>
      </c>
      <c r="D88" s="1" t="s">
        <v>471</v>
      </c>
      <c r="E88" s="1" t="s">
        <v>472</v>
      </c>
      <c r="F88" s="1" t="s">
        <v>480</v>
      </c>
      <c r="G88" s="1" t="s">
        <v>481</v>
      </c>
      <c r="H88" s="1" t="s">
        <v>482</v>
      </c>
      <c r="I88" s="1" t="s">
        <v>476</v>
      </c>
      <c r="J88" s="1" t="s">
        <v>53</v>
      </c>
      <c r="K88" s="5" t="s">
        <v>28</v>
      </c>
      <c r="L88" s="1" t="s">
        <v>29</v>
      </c>
      <c r="M88" s="1" t="s">
        <v>483</v>
      </c>
      <c r="N88" s="1" t="s">
        <v>484</v>
      </c>
      <c r="O88" s="1" t="s">
        <v>485</v>
      </c>
      <c r="P88" s="1"/>
      <c r="Q88" s="1"/>
      <c r="R88" s="5" t="s">
        <v>214</v>
      </c>
      <c r="S88" s="5" t="s">
        <v>34</v>
      </c>
      <c r="T88" s="74">
        <v>1</v>
      </c>
      <c r="U88" s="1"/>
      <c r="V88" s="5"/>
      <c r="W88" s="5">
        <v>44</v>
      </c>
      <c r="X88" s="5">
        <v>44</v>
      </c>
      <c r="Y88" s="5"/>
      <c r="Z88" s="5"/>
      <c r="AA88" s="5">
        <v>37</v>
      </c>
      <c r="AB88" s="5">
        <v>37</v>
      </c>
      <c r="AC88" s="5"/>
      <c r="AD88" s="5"/>
      <c r="AE88" s="5">
        <v>51</v>
      </c>
      <c r="AF88" s="5">
        <v>51</v>
      </c>
      <c r="AG88" s="5"/>
      <c r="AH88" s="5"/>
      <c r="AI88" s="5">
        <v>62</v>
      </c>
      <c r="AJ88" s="5">
        <v>62</v>
      </c>
      <c r="AK88" s="2"/>
      <c r="AL88" s="2"/>
      <c r="AM88" s="5">
        <v>47</v>
      </c>
      <c r="AN88" s="5">
        <v>47</v>
      </c>
      <c r="AO88" s="2"/>
      <c r="AP88" s="2"/>
      <c r="AQ88" s="2">
        <v>59</v>
      </c>
      <c r="AR88" s="2">
        <v>60</v>
      </c>
      <c r="AS88" s="83">
        <f t="shared" si="19"/>
        <v>300</v>
      </c>
      <c r="AT88" s="83">
        <f t="shared" si="20"/>
        <v>301</v>
      </c>
      <c r="AU88" s="161">
        <f t="shared" si="21"/>
        <v>0.99667774086378735</v>
      </c>
      <c r="AV88" s="162">
        <f>AQ88/AR88</f>
        <v>0.98333333333333328</v>
      </c>
      <c r="AW88" s="161">
        <f t="shared" si="24"/>
        <v>0.98333333333333328</v>
      </c>
      <c r="AX88" s="81" t="s">
        <v>533</v>
      </c>
      <c r="AY88" s="104" t="s">
        <v>613</v>
      </c>
    </row>
    <row r="89" spans="2:51" s="105" customFormat="1" ht="98.25" customHeight="1" x14ac:dyDescent="0.25">
      <c r="B89" s="106" t="s">
        <v>699</v>
      </c>
      <c r="C89" s="65">
        <f t="shared" si="22"/>
        <v>76</v>
      </c>
      <c r="D89" s="1" t="s">
        <v>471</v>
      </c>
      <c r="E89" s="1" t="s">
        <v>472</v>
      </c>
      <c r="F89" s="1" t="s">
        <v>700</v>
      </c>
      <c r="G89" s="1" t="s">
        <v>701</v>
      </c>
      <c r="H89" s="1" t="s">
        <v>702</v>
      </c>
      <c r="I89" s="1" t="s">
        <v>476</v>
      </c>
      <c r="J89" s="1" t="s">
        <v>27</v>
      </c>
      <c r="K89" s="5" t="s">
        <v>28</v>
      </c>
      <c r="L89" s="1" t="s">
        <v>29</v>
      </c>
      <c r="M89" s="1" t="s">
        <v>143</v>
      </c>
      <c r="N89" s="1" t="s">
        <v>703</v>
      </c>
      <c r="O89" s="1" t="s">
        <v>704</v>
      </c>
      <c r="P89" s="1"/>
      <c r="Q89" s="1"/>
      <c r="R89" s="5" t="s">
        <v>214</v>
      </c>
      <c r="S89" s="5" t="s">
        <v>34</v>
      </c>
      <c r="T89" s="74">
        <v>1</v>
      </c>
      <c r="U89" s="1"/>
      <c r="V89" s="5"/>
      <c r="W89" s="5"/>
      <c r="X89" s="5"/>
      <c r="Y89" s="5"/>
      <c r="Z89" s="5"/>
      <c r="AA89" s="5"/>
      <c r="AB89" s="5"/>
      <c r="AC89" s="5"/>
      <c r="AD89" s="5"/>
      <c r="AE89" s="5">
        <v>17</v>
      </c>
      <c r="AF89" s="5">
        <v>17</v>
      </c>
      <c r="AG89" s="5"/>
      <c r="AH89" s="5"/>
      <c r="AI89" s="5"/>
      <c r="AJ89" s="5"/>
      <c r="AK89" s="2"/>
      <c r="AL89" s="2"/>
      <c r="AM89" s="2"/>
      <c r="AN89" s="2"/>
      <c r="AO89" s="2"/>
      <c r="AP89" s="2"/>
      <c r="AQ89" s="5">
        <v>9</v>
      </c>
      <c r="AR89" s="5">
        <v>9</v>
      </c>
      <c r="AS89" s="83">
        <f t="shared" si="19"/>
        <v>26</v>
      </c>
      <c r="AT89" s="83">
        <f t="shared" si="20"/>
        <v>26</v>
      </c>
      <c r="AU89" s="161">
        <f t="shared" si="21"/>
        <v>1</v>
      </c>
      <c r="AV89" s="162">
        <f>AQ89/AR89</f>
        <v>1</v>
      </c>
      <c r="AW89" s="162">
        <f t="shared" si="24"/>
        <v>1</v>
      </c>
      <c r="AX89" s="162" t="s">
        <v>533</v>
      </c>
      <c r="AY89" s="104" t="s">
        <v>613</v>
      </c>
    </row>
    <row r="90" spans="2:51" s="105" customFormat="1" ht="130.5" customHeight="1" x14ac:dyDescent="0.25">
      <c r="B90" s="106" t="s">
        <v>705</v>
      </c>
      <c r="C90" s="65">
        <f t="shared" si="22"/>
        <v>77</v>
      </c>
      <c r="D90" s="1" t="s">
        <v>487</v>
      </c>
      <c r="E90" s="1" t="s">
        <v>488</v>
      </c>
      <c r="F90" s="1" t="s">
        <v>496</v>
      </c>
      <c r="G90" s="1" t="s">
        <v>497</v>
      </c>
      <c r="H90" s="1" t="s">
        <v>498</v>
      </c>
      <c r="I90" s="1" t="s">
        <v>499</v>
      </c>
      <c r="J90" s="1" t="s">
        <v>27</v>
      </c>
      <c r="K90" s="5" t="s">
        <v>28</v>
      </c>
      <c r="L90" s="1" t="s">
        <v>29</v>
      </c>
      <c r="M90" s="1" t="s">
        <v>69</v>
      </c>
      <c r="N90" s="1" t="s">
        <v>500</v>
      </c>
      <c r="O90" s="1" t="s">
        <v>501</v>
      </c>
      <c r="P90" s="1"/>
      <c r="Q90" s="1"/>
      <c r="R90" s="1" t="s">
        <v>214</v>
      </c>
      <c r="S90" s="1" t="s">
        <v>34</v>
      </c>
      <c r="T90" s="169">
        <v>1</v>
      </c>
      <c r="U90" s="1"/>
      <c r="V90" s="1"/>
      <c r="W90" s="1"/>
      <c r="X90" s="1"/>
      <c r="Y90" s="1">
        <v>22</v>
      </c>
      <c r="Z90" s="1">
        <v>22</v>
      </c>
      <c r="AA90" s="2"/>
      <c r="AB90" s="2"/>
      <c r="AC90" s="2"/>
      <c r="AD90" s="2"/>
      <c r="AE90" s="5">
        <v>38</v>
      </c>
      <c r="AF90" s="5">
        <v>38</v>
      </c>
      <c r="AG90" s="2"/>
      <c r="AH90" s="2"/>
      <c r="AI90" s="2"/>
      <c r="AJ90" s="2"/>
      <c r="AK90" s="5">
        <v>51</v>
      </c>
      <c r="AL90" s="5">
        <v>53</v>
      </c>
      <c r="AM90" s="2"/>
      <c r="AN90" s="2"/>
      <c r="AO90" s="2"/>
      <c r="AP90" s="2"/>
      <c r="AQ90" s="5">
        <v>53</v>
      </c>
      <c r="AR90" s="5">
        <v>55</v>
      </c>
      <c r="AS90" s="83">
        <f t="shared" si="19"/>
        <v>164</v>
      </c>
      <c r="AT90" s="83">
        <f t="shared" si="20"/>
        <v>168</v>
      </c>
      <c r="AU90" s="81">
        <f>(AS90/AT90)</f>
        <v>0.97619047619047616</v>
      </c>
      <c r="AV90" s="162">
        <f>(AG90+AI90+AQ90)/(AH90+AJ90+AR90)</f>
        <v>0.96363636363636362</v>
      </c>
      <c r="AW90" s="162">
        <v>0.96363636363636362</v>
      </c>
      <c r="AX90" s="172" t="s">
        <v>533</v>
      </c>
      <c r="AY90" s="104" t="s">
        <v>613</v>
      </c>
    </row>
    <row r="91" spans="2:51" s="105" customFormat="1" ht="29.25" hidden="1" customHeight="1" x14ac:dyDescent="0.25">
      <c r="B91" s="106"/>
      <c r="C91" s="65">
        <f t="shared" si="22"/>
        <v>78</v>
      </c>
      <c r="D91" s="1" t="s">
        <v>402</v>
      </c>
      <c r="E91" s="1" t="s">
        <v>403</v>
      </c>
      <c r="F91" s="1" t="s">
        <v>510</v>
      </c>
      <c r="G91" s="1" t="s">
        <v>511</v>
      </c>
      <c r="H91" s="1" t="s">
        <v>512</v>
      </c>
      <c r="I91" s="1" t="s">
        <v>407</v>
      </c>
      <c r="J91" s="1" t="s">
        <v>27</v>
      </c>
      <c r="K91" s="1" t="s">
        <v>39</v>
      </c>
      <c r="L91" s="1" t="s">
        <v>29</v>
      </c>
      <c r="M91" s="1" t="s">
        <v>143</v>
      </c>
      <c r="N91" s="1" t="s">
        <v>513</v>
      </c>
      <c r="O91" s="1" t="s">
        <v>514</v>
      </c>
      <c r="P91" s="1"/>
      <c r="Q91" s="1"/>
      <c r="R91" s="5" t="s">
        <v>214</v>
      </c>
      <c r="S91" s="5" t="s">
        <v>86</v>
      </c>
      <c r="T91" s="74"/>
      <c r="U91" s="1"/>
      <c r="V91" s="1"/>
      <c r="W91" s="1"/>
      <c r="X91" s="1"/>
      <c r="Y91" s="1"/>
      <c r="Z91" s="1"/>
      <c r="AA91" s="2"/>
      <c r="AB91" s="2"/>
      <c r="AC91" s="2"/>
      <c r="AD91" s="2"/>
      <c r="AE91" s="2"/>
      <c r="AF91" s="2"/>
      <c r="AG91" s="2"/>
      <c r="AH91" s="2"/>
      <c r="AI91" s="2"/>
      <c r="AJ91" s="2"/>
      <c r="AK91" s="2"/>
      <c r="AL91" s="2"/>
      <c r="AM91" s="5"/>
      <c r="AN91" s="5"/>
      <c r="AO91" s="2"/>
      <c r="AP91" s="2"/>
      <c r="AQ91" s="2"/>
      <c r="AR91" s="2"/>
      <c r="AS91" s="165"/>
      <c r="AT91" s="165"/>
      <c r="AU91" s="165"/>
      <c r="AV91" s="81"/>
      <c r="AW91" s="165"/>
      <c r="AX91" s="81"/>
      <c r="AY91" s="104"/>
    </row>
    <row r="92" spans="2:51" s="105" customFormat="1" ht="93" hidden="1" customHeight="1" x14ac:dyDescent="0.25">
      <c r="B92" s="106" t="s">
        <v>706</v>
      </c>
      <c r="C92" s="65">
        <f t="shared" si="22"/>
        <v>79</v>
      </c>
      <c r="D92" s="1" t="s">
        <v>487</v>
      </c>
      <c r="E92" s="1" t="s">
        <v>488</v>
      </c>
      <c r="F92" s="1" t="s">
        <v>489</v>
      </c>
      <c r="G92" s="1" t="s">
        <v>490</v>
      </c>
      <c r="H92" s="1" t="s">
        <v>491</v>
      </c>
      <c r="I92" s="1" t="s">
        <v>492</v>
      </c>
      <c r="J92" s="1" t="s">
        <v>53</v>
      </c>
      <c r="K92" s="5" t="s">
        <v>28</v>
      </c>
      <c r="L92" s="1" t="s">
        <v>29</v>
      </c>
      <c r="M92" s="1" t="s">
        <v>69</v>
      </c>
      <c r="N92" s="1" t="s">
        <v>493</v>
      </c>
      <c r="O92" s="1" t="s">
        <v>494</v>
      </c>
      <c r="P92" s="1"/>
      <c r="Q92" s="1"/>
      <c r="R92" s="5" t="s">
        <v>214</v>
      </c>
      <c r="S92" s="5" t="s">
        <v>86</v>
      </c>
      <c r="T92" s="74">
        <v>1</v>
      </c>
      <c r="U92" s="169"/>
      <c r="V92" s="169"/>
      <c r="W92" s="1"/>
      <c r="X92" s="1"/>
      <c r="Y92" s="1">
        <v>43</v>
      </c>
      <c r="Z92" s="1">
        <v>43</v>
      </c>
      <c r="AA92" s="2"/>
      <c r="AB92" s="2"/>
      <c r="AC92" s="2"/>
      <c r="AD92" s="2"/>
      <c r="AE92" s="5">
        <v>129</v>
      </c>
      <c r="AF92" s="5">
        <v>129</v>
      </c>
      <c r="AG92" s="2"/>
      <c r="AH92" s="2"/>
      <c r="AI92" s="185"/>
      <c r="AJ92" s="185"/>
      <c r="AK92" s="5"/>
      <c r="AL92" s="5"/>
      <c r="AM92" s="2"/>
      <c r="AN92" s="2"/>
      <c r="AO92" s="2"/>
      <c r="AP92" s="2"/>
      <c r="AQ92" s="5"/>
      <c r="AR92" s="5"/>
      <c r="AS92" s="83">
        <f t="shared" ref="AS92:AT95" si="25">U92+W92+Y92+AA92+AC92+AE92+AG92+AI92+AK92+AM92+AO92+AQ92</f>
        <v>172</v>
      </c>
      <c r="AT92" s="83">
        <f t="shared" si="25"/>
        <v>172</v>
      </c>
      <c r="AU92" s="81">
        <f>(AS92/AT92)</f>
        <v>1</v>
      </c>
      <c r="AV92" s="81">
        <v>1</v>
      </c>
      <c r="AW92" s="81">
        <v>1</v>
      </c>
      <c r="AX92" s="172" t="s">
        <v>533</v>
      </c>
      <c r="AY92" s="104" t="s">
        <v>707</v>
      </c>
    </row>
    <row r="93" spans="2:51" s="105" customFormat="1" ht="80.25" customHeight="1" thickBot="1" x14ac:dyDescent="0.3">
      <c r="B93" s="106" t="s">
        <v>708</v>
      </c>
      <c r="C93" s="65">
        <f>C90+1</f>
        <v>78</v>
      </c>
      <c r="D93" s="116" t="s">
        <v>502</v>
      </c>
      <c r="E93" s="1" t="s">
        <v>503</v>
      </c>
      <c r="F93" s="1" t="s">
        <v>504</v>
      </c>
      <c r="G93" s="1" t="s">
        <v>505</v>
      </c>
      <c r="H93" s="1" t="s">
        <v>506</v>
      </c>
      <c r="I93" s="1" t="s">
        <v>26</v>
      </c>
      <c r="J93" s="1" t="s">
        <v>27</v>
      </c>
      <c r="K93" s="64" t="s">
        <v>28</v>
      </c>
      <c r="L93" s="1" t="s">
        <v>29</v>
      </c>
      <c r="M93" s="1" t="s">
        <v>30</v>
      </c>
      <c r="N93" s="1" t="s">
        <v>507</v>
      </c>
      <c r="O93" s="1" t="s">
        <v>508</v>
      </c>
      <c r="P93" s="1"/>
      <c r="Q93" s="1"/>
      <c r="R93" s="5" t="s">
        <v>275</v>
      </c>
      <c r="S93" s="5" t="s">
        <v>34</v>
      </c>
      <c r="T93" s="74">
        <v>1</v>
      </c>
      <c r="U93" s="1">
        <v>473</v>
      </c>
      <c r="V93" s="1">
        <v>473</v>
      </c>
      <c r="W93" s="1">
        <v>587</v>
      </c>
      <c r="X93" s="1">
        <v>587</v>
      </c>
      <c r="Y93" s="1">
        <v>605</v>
      </c>
      <c r="Z93" s="1">
        <v>605</v>
      </c>
      <c r="AA93" s="5">
        <v>528</v>
      </c>
      <c r="AB93" s="5">
        <v>528</v>
      </c>
      <c r="AC93" s="5">
        <v>651</v>
      </c>
      <c r="AD93" s="5">
        <v>653</v>
      </c>
      <c r="AE93" s="5">
        <v>576</v>
      </c>
      <c r="AF93" s="5">
        <v>576</v>
      </c>
      <c r="AG93" s="5">
        <v>576</v>
      </c>
      <c r="AH93" s="5">
        <v>576</v>
      </c>
      <c r="AI93" s="5">
        <v>605</v>
      </c>
      <c r="AJ93" s="5">
        <v>605</v>
      </c>
      <c r="AK93" s="5">
        <v>627</v>
      </c>
      <c r="AL93" s="5">
        <v>627</v>
      </c>
      <c r="AM93" s="5">
        <v>522</v>
      </c>
      <c r="AN93" s="5">
        <v>522</v>
      </c>
      <c r="AO93" s="5">
        <v>535</v>
      </c>
      <c r="AP93" s="5">
        <v>535</v>
      </c>
      <c r="AQ93" s="5">
        <v>430</v>
      </c>
      <c r="AR93" s="5">
        <v>430</v>
      </c>
      <c r="AS93" s="83">
        <f t="shared" si="25"/>
        <v>6715</v>
      </c>
      <c r="AT93" s="83">
        <f t="shared" si="25"/>
        <v>6717</v>
      </c>
      <c r="AU93" s="81">
        <f>AS93/AT93</f>
        <v>0.99970224802739316</v>
      </c>
      <c r="AV93" s="162">
        <f>(AM93+AO93+AQ93)/(AN93+AP93+AR93)</f>
        <v>1</v>
      </c>
      <c r="AW93" s="81">
        <f>AQ93/AR93</f>
        <v>1</v>
      </c>
      <c r="AX93" s="172" t="s">
        <v>533</v>
      </c>
      <c r="AY93" s="104" t="s">
        <v>613</v>
      </c>
    </row>
    <row r="94" spans="2:51" s="105" customFormat="1" ht="80.25" customHeight="1" x14ac:dyDescent="0.25">
      <c r="B94" s="106" t="s">
        <v>709</v>
      </c>
      <c r="C94" s="65">
        <f>C91+1</f>
        <v>79</v>
      </c>
      <c r="D94" s="1" t="s">
        <v>502</v>
      </c>
      <c r="E94" s="1" t="s">
        <v>503</v>
      </c>
      <c r="F94" s="1" t="s">
        <v>516</v>
      </c>
      <c r="G94" s="1" t="s">
        <v>517</v>
      </c>
      <c r="H94" s="1" t="s">
        <v>518</v>
      </c>
      <c r="I94" s="1" t="s">
        <v>26</v>
      </c>
      <c r="J94" s="1" t="s">
        <v>27</v>
      </c>
      <c r="K94" s="1" t="s">
        <v>133</v>
      </c>
      <c r="L94" s="1" t="s">
        <v>29</v>
      </c>
      <c r="M94" s="1" t="s">
        <v>30</v>
      </c>
      <c r="N94" s="1" t="s">
        <v>519</v>
      </c>
      <c r="O94" s="1" t="s">
        <v>520</v>
      </c>
      <c r="P94" s="1"/>
      <c r="Q94" s="1"/>
      <c r="R94" s="5" t="s">
        <v>33</v>
      </c>
      <c r="S94" s="5" t="s">
        <v>34</v>
      </c>
      <c r="T94" s="74" t="s">
        <v>710</v>
      </c>
      <c r="U94" s="1">
        <v>0</v>
      </c>
      <c r="V94" s="1">
        <v>759</v>
      </c>
      <c r="W94" s="1">
        <v>0</v>
      </c>
      <c r="X94" s="1">
        <v>852</v>
      </c>
      <c r="Y94" s="1">
        <v>0</v>
      </c>
      <c r="Z94" s="1">
        <v>677</v>
      </c>
      <c r="AA94" s="5">
        <v>0</v>
      </c>
      <c r="AB94" s="5">
        <v>624</v>
      </c>
      <c r="AC94" s="5">
        <v>0</v>
      </c>
      <c r="AD94" s="5">
        <v>601</v>
      </c>
      <c r="AE94" s="5">
        <v>0</v>
      </c>
      <c r="AF94" s="5">
        <v>651</v>
      </c>
      <c r="AG94" s="180">
        <v>0</v>
      </c>
      <c r="AH94" s="180">
        <v>691</v>
      </c>
      <c r="AI94" s="180">
        <v>0</v>
      </c>
      <c r="AJ94" s="180">
        <v>778</v>
      </c>
      <c r="AK94" s="180">
        <v>0</v>
      </c>
      <c r="AL94" s="180">
        <v>751</v>
      </c>
      <c r="AM94" s="180">
        <v>0</v>
      </c>
      <c r="AN94" s="180">
        <v>743</v>
      </c>
      <c r="AO94" s="180">
        <v>0</v>
      </c>
      <c r="AP94" s="180">
        <v>772</v>
      </c>
      <c r="AQ94" s="180">
        <v>0</v>
      </c>
      <c r="AR94" s="180">
        <v>680</v>
      </c>
      <c r="AS94" s="83">
        <f t="shared" si="25"/>
        <v>0</v>
      </c>
      <c r="AT94" s="83">
        <f t="shared" si="25"/>
        <v>8579</v>
      </c>
      <c r="AU94" s="81">
        <f>AS94/AT94</f>
        <v>0</v>
      </c>
      <c r="AV94" s="81">
        <f>(AM94+AO94+AQ94)/(AN94+AP94+AR94)</f>
        <v>0</v>
      </c>
      <c r="AW94" s="81">
        <f>AQ94/AR94</f>
        <v>0</v>
      </c>
      <c r="AX94" s="172" t="s">
        <v>533</v>
      </c>
      <c r="AY94" s="104" t="s">
        <v>613</v>
      </c>
    </row>
    <row r="95" spans="2:51" s="105" customFormat="1" ht="80.25" customHeight="1" x14ac:dyDescent="0.25">
      <c r="B95" s="106" t="s">
        <v>711</v>
      </c>
      <c r="C95" s="65">
        <f>C94+1</f>
        <v>80</v>
      </c>
      <c r="D95" s="1" t="s">
        <v>502</v>
      </c>
      <c r="E95" s="1" t="s">
        <v>503</v>
      </c>
      <c r="F95" s="1" t="s">
        <v>522</v>
      </c>
      <c r="G95" s="1" t="s">
        <v>523</v>
      </c>
      <c r="H95" s="1" t="s">
        <v>524</v>
      </c>
      <c r="I95" s="1" t="s">
        <v>26</v>
      </c>
      <c r="J95" s="1" t="s">
        <v>53</v>
      </c>
      <c r="K95" s="1" t="s">
        <v>133</v>
      </c>
      <c r="L95" s="1" t="s">
        <v>265</v>
      </c>
      <c r="M95" s="1" t="s">
        <v>30</v>
      </c>
      <c r="N95" s="1" t="s">
        <v>712</v>
      </c>
      <c r="O95" s="1" t="s">
        <v>526</v>
      </c>
      <c r="P95" s="1"/>
      <c r="Q95" s="1"/>
      <c r="R95" s="5" t="s">
        <v>527</v>
      </c>
      <c r="S95" s="5" t="s">
        <v>34</v>
      </c>
      <c r="T95" s="5">
        <v>15</v>
      </c>
      <c r="U95" s="1">
        <v>634</v>
      </c>
      <c r="V95" s="1">
        <v>42</v>
      </c>
      <c r="W95" s="1">
        <v>1402</v>
      </c>
      <c r="X95" s="1">
        <v>103</v>
      </c>
      <c r="Y95" s="167">
        <v>945</v>
      </c>
      <c r="Z95" s="1">
        <v>80</v>
      </c>
      <c r="AA95" s="5">
        <v>902</v>
      </c>
      <c r="AB95" s="5">
        <v>62</v>
      </c>
      <c r="AC95" s="5">
        <v>1702</v>
      </c>
      <c r="AD95" s="5">
        <v>121</v>
      </c>
      <c r="AE95" s="5">
        <v>1517</v>
      </c>
      <c r="AF95" s="5">
        <v>201</v>
      </c>
      <c r="AG95" s="180">
        <v>902</v>
      </c>
      <c r="AH95" s="180">
        <v>85</v>
      </c>
      <c r="AI95" s="180">
        <v>1517</v>
      </c>
      <c r="AJ95" s="180">
        <v>136</v>
      </c>
      <c r="AK95" s="180">
        <v>966</v>
      </c>
      <c r="AL95" s="180">
        <v>160</v>
      </c>
      <c r="AM95" s="180">
        <v>494</v>
      </c>
      <c r="AN95" s="180">
        <v>104</v>
      </c>
      <c r="AO95" s="180">
        <v>678</v>
      </c>
      <c r="AP95" s="180">
        <v>106</v>
      </c>
      <c r="AQ95" s="180">
        <v>1102</v>
      </c>
      <c r="AR95" s="180">
        <v>134</v>
      </c>
      <c r="AS95" s="83">
        <f t="shared" si="25"/>
        <v>12761</v>
      </c>
      <c r="AT95" s="83">
        <f t="shared" si="25"/>
        <v>1334</v>
      </c>
      <c r="AU95" s="171">
        <f>AS95/AT95</f>
        <v>9.5659670164917543</v>
      </c>
      <c r="AV95" s="171">
        <f>(AM95+AO95+AQ95)/(AN95+AP95+AR95)</f>
        <v>6.6104651162790695</v>
      </c>
      <c r="AW95" s="171">
        <f>AQ95/AR95</f>
        <v>8.2238805970149258</v>
      </c>
      <c r="AX95" s="172" t="s">
        <v>533</v>
      </c>
      <c r="AY95" s="104" t="s">
        <v>613</v>
      </c>
    </row>
    <row r="96" spans="2:51" hidden="1" x14ac:dyDescent="0.25">
      <c r="AQ96" s="195"/>
      <c r="AR96" s="195"/>
    </row>
    <row r="97" spans="3:51" ht="13.5" thickBot="1" x14ac:dyDescent="0.3"/>
    <row r="98" spans="3:51" ht="60" customHeight="1" thickBot="1" x14ac:dyDescent="0.3">
      <c r="C98" s="128" t="s">
        <v>530</v>
      </c>
      <c r="D98" s="129"/>
      <c r="E98" s="129"/>
      <c r="F98" s="129"/>
      <c r="G98" s="129"/>
      <c r="H98" s="129"/>
      <c r="I98" s="129"/>
      <c r="J98" s="125"/>
      <c r="K98" s="125"/>
      <c r="L98" s="125"/>
      <c r="M98" s="125"/>
      <c r="N98" s="129"/>
      <c r="O98" s="129"/>
      <c r="P98" s="129"/>
      <c r="Q98" s="129"/>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203"/>
      <c r="AQ98" s="125"/>
      <c r="AR98" s="125"/>
      <c r="AS98" s="125"/>
      <c r="AT98" s="125"/>
      <c r="AU98" s="125"/>
      <c r="AV98" s="125"/>
      <c r="AW98" s="125"/>
      <c r="AX98" s="125"/>
      <c r="AY98" s="155"/>
    </row>
  </sheetData>
  <autoFilter ref="A8:AY96" xr:uid="{00000000-0009-0000-0000-000003000000}">
    <filterColumn colId="18">
      <filters>
        <filter val="Activo"/>
      </filters>
    </filterColumn>
    <sortState xmlns:xlrd2="http://schemas.microsoft.com/office/spreadsheetml/2017/richdata2" ref="A9:AY96">
      <sortCondition ref="B8:B96"/>
    </sortState>
  </autoFilter>
  <mergeCells count="13">
    <mergeCell ref="D5:F6"/>
    <mergeCell ref="G5:AJ6"/>
    <mergeCell ref="AK5:AR6"/>
    <mergeCell ref="AS5:AY6"/>
    <mergeCell ref="B2:C6"/>
    <mergeCell ref="D2:F4"/>
    <mergeCell ref="G2:AJ4"/>
    <mergeCell ref="AK2:AR2"/>
    <mergeCell ref="AS2:AY2"/>
    <mergeCell ref="AK3:AR3"/>
    <mergeCell ref="AS3:AY3"/>
    <mergeCell ref="AK4:AR4"/>
    <mergeCell ref="AS4:AY4"/>
  </mergeCells>
  <conditionalFormatting sqref="AX17 AX24:AX27 AX29:AX38 AX40:AX48 AX52:AX1048576 AX1:AX14 AV96:AW96">
    <cfRule type="cellIs" dxfId="26" priority="37" operator="equal">
      <formula>"En alerta"</formula>
    </cfRule>
    <cfRule type="cellIs" dxfId="25" priority="38" operator="equal">
      <formula>"En ejecución"</formula>
    </cfRule>
    <cfRule type="cellIs" dxfId="24" priority="39" operator="equal">
      <formula>"En cumplimiento"</formula>
    </cfRule>
  </conditionalFormatting>
  <conditionalFormatting sqref="AX28">
    <cfRule type="cellIs" dxfId="23" priority="31" operator="equal">
      <formula>"En alerta"</formula>
    </cfRule>
    <cfRule type="cellIs" dxfId="22" priority="32" operator="equal">
      <formula>"En ejecución"</formula>
    </cfRule>
    <cfRule type="cellIs" dxfId="21" priority="33" operator="equal">
      <formula>"En cumplimiento"</formula>
    </cfRule>
  </conditionalFormatting>
  <conditionalFormatting sqref="AX15:AX16 AX18:AX23">
    <cfRule type="cellIs" dxfId="20" priority="28" operator="equal">
      <formula>"En alerta"</formula>
    </cfRule>
    <cfRule type="cellIs" dxfId="19" priority="29" operator="equal">
      <formula>"En ejecución"</formula>
    </cfRule>
    <cfRule type="cellIs" dxfId="18" priority="30" operator="equal">
      <formula>"En cumplimiento"</formula>
    </cfRule>
  </conditionalFormatting>
  <conditionalFormatting sqref="AX39">
    <cfRule type="cellIs" dxfId="17" priority="13" operator="equal">
      <formula>"En alerta"</formula>
    </cfRule>
    <cfRule type="cellIs" dxfId="16" priority="14" operator="equal">
      <formula>"En ejecución"</formula>
    </cfRule>
    <cfRule type="cellIs" dxfId="15" priority="15" operator="equal">
      <formula>"En cumplimiento"</formula>
    </cfRule>
  </conditionalFormatting>
  <conditionalFormatting sqref="AN49">
    <cfRule type="cellIs" dxfId="14" priority="10" operator="equal">
      <formula>"En alerta"</formula>
    </cfRule>
    <cfRule type="cellIs" dxfId="13" priority="11" operator="equal">
      <formula>"En ejecución"</formula>
    </cfRule>
    <cfRule type="cellIs" dxfId="12" priority="12" operator="equal">
      <formula>"En cumplimiento"</formula>
    </cfRule>
  </conditionalFormatting>
  <conditionalFormatting sqref="AX49">
    <cfRule type="cellIs" dxfId="11" priority="7" operator="equal">
      <formula>"En alerta"</formula>
    </cfRule>
    <cfRule type="cellIs" dxfId="10" priority="8" operator="equal">
      <formula>"En ejecución"</formula>
    </cfRule>
    <cfRule type="cellIs" dxfId="9" priority="9" operator="equal">
      <formula>"En cumplimiento"</formula>
    </cfRule>
  </conditionalFormatting>
  <conditionalFormatting sqref="AX50">
    <cfRule type="cellIs" dxfId="8" priority="4" operator="equal">
      <formula>"En alerta"</formula>
    </cfRule>
    <cfRule type="cellIs" dxfId="7" priority="5" operator="equal">
      <formula>"En ejecución"</formula>
    </cfRule>
    <cfRule type="cellIs" dxfId="6" priority="6" operator="equal">
      <formula>"En cumplimiento"</formula>
    </cfRule>
  </conditionalFormatting>
  <conditionalFormatting sqref="AX51">
    <cfRule type="cellIs" dxfId="5" priority="1" operator="equal">
      <formula>"En alerta"</formula>
    </cfRule>
    <cfRule type="cellIs" dxfId="4" priority="2" operator="equal">
      <formula>"En ejecución"</formula>
    </cfRule>
    <cfRule type="cellIs" dxfId="3" priority="3" operator="equal">
      <formula>"En cumplimiento"</formula>
    </cfRule>
  </conditionalFormatting>
  <pageMargins left="0.7" right="0.7" top="0.75" bottom="0.75" header="0.3" footer="0.3"/>
  <pageSetup scale="79" orientation="portrait" r:id="rId1"/>
  <rowBreaks count="1" manualBreakCount="1">
    <brk id="19" max="16383"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5</v>
      </c>
      <c r="F6" t="s">
        <v>713</v>
      </c>
    </row>
    <row r="7" spans="2:6" x14ac:dyDescent="0.25">
      <c r="B7" s="90" t="s">
        <v>21</v>
      </c>
      <c r="C7" t="s">
        <v>714</v>
      </c>
      <c r="D7" t="s">
        <v>715</v>
      </c>
      <c r="F7">
        <v>5</v>
      </c>
    </row>
    <row r="8" spans="2:6" x14ac:dyDescent="0.25">
      <c r="B8" s="90" t="s">
        <v>62</v>
      </c>
      <c r="C8" t="s">
        <v>716</v>
      </c>
      <c r="D8" t="s">
        <v>717</v>
      </c>
      <c r="F8">
        <v>10</v>
      </c>
    </row>
    <row r="9" spans="2:6" x14ac:dyDescent="0.25">
      <c r="B9" s="90" t="s">
        <v>120</v>
      </c>
      <c r="C9" t="s">
        <v>718</v>
      </c>
      <c r="D9" t="s">
        <v>719</v>
      </c>
      <c r="F9">
        <v>2</v>
      </c>
    </row>
    <row r="10" spans="2:6" x14ac:dyDescent="0.25">
      <c r="B10" s="90" t="s">
        <v>137</v>
      </c>
      <c r="C10" t="s">
        <v>720</v>
      </c>
      <c r="D10" t="s">
        <v>721</v>
      </c>
      <c r="F10">
        <v>2</v>
      </c>
    </row>
    <row r="11" spans="2:6" x14ac:dyDescent="0.25">
      <c r="B11" s="90" t="s">
        <v>152</v>
      </c>
      <c r="C11" t="s">
        <v>722</v>
      </c>
      <c r="D11" t="s">
        <v>723</v>
      </c>
      <c r="F11">
        <v>2</v>
      </c>
    </row>
    <row r="12" spans="2:6" x14ac:dyDescent="0.25">
      <c r="B12" s="90" t="s">
        <v>168</v>
      </c>
      <c r="C12" t="s">
        <v>724</v>
      </c>
      <c r="D12" t="s">
        <v>725</v>
      </c>
      <c r="F12">
        <v>2</v>
      </c>
    </row>
    <row r="13" spans="2:6" x14ac:dyDescent="0.25">
      <c r="B13" s="90" t="s">
        <v>183</v>
      </c>
      <c r="C13" t="s">
        <v>726</v>
      </c>
      <c r="D13" t="s">
        <v>727</v>
      </c>
      <c r="F13">
        <v>4</v>
      </c>
    </row>
    <row r="14" spans="2:6" x14ac:dyDescent="0.25">
      <c r="B14" s="90" t="s">
        <v>206</v>
      </c>
      <c r="C14" t="s">
        <v>728</v>
      </c>
      <c r="D14" t="s">
        <v>729</v>
      </c>
      <c r="F14">
        <v>8</v>
      </c>
    </row>
    <row r="15" spans="2:6" x14ac:dyDescent="0.25">
      <c r="B15" s="90" t="s">
        <v>253</v>
      </c>
      <c r="C15" t="s">
        <v>730</v>
      </c>
      <c r="D15" t="s">
        <v>731</v>
      </c>
      <c r="F15">
        <v>3</v>
      </c>
    </row>
    <row r="16" spans="2:6" x14ac:dyDescent="0.25">
      <c r="B16" s="90" t="s">
        <v>277</v>
      </c>
      <c r="C16" t="s">
        <v>732</v>
      </c>
      <c r="D16" t="s">
        <v>733</v>
      </c>
      <c r="F16">
        <v>3</v>
      </c>
    </row>
    <row r="17" spans="2:7" x14ac:dyDescent="0.25">
      <c r="B17" s="90" t="s">
        <v>299</v>
      </c>
      <c r="C17" t="s">
        <v>734</v>
      </c>
      <c r="D17" t="s">
        <v>735</v>
      </c>
      <c r="F17">
        <v>2</v>
      </c>
    </row>
    <row r="18" spans="2:7" x14ac:dyDescent="0.25">
      <c r="B18" s="90" t="s">
        <v>334</v>
      </c>
      <c r="C18" t="s">
        <v>736</v>
      </c>
      <c r="D18" t="s">
        <v>737</v>
      </c>
      <c r="F18">
        <v>17</v>
      </c>
    </row>
    <row r="19" spans="2:7" x14ac:dyDescent="0.25">
      <c r="B19" s="90" t="s">
        <v>402</v>
      </c>
      <c r="C19" t="s">
        <v>738</v>
      </c>
      <c r="D19" t="s">
        <v>739</v>
      </c>
      <c r="F19">
        <v>2</v>
      </c>
    </row>
    <row r="20" spans="2:7" x14ac:dyDescent="0.25">
      <c r="B20" s="90" t="s">
        <v>425</v>
      </c>
      <c r="C20" t="s">
        <v>740</v>
      </c>
      <c r="D20" t="s">
        <v>741</v>
      </c>
      <c r="F20">
        <v>1</v>
      </c>
    </row>
    <row r="21" spans="2:7" x14ac:dyDescent="0.25">
      <c r="B21" s="90" t="s">
        <v>322</v>
      </c>
      <c r="C21" t="s">
        <v>742</v>
      </c>
      <c r="D21" t="s">
        <v>743</v>
      </c>
      <c r="F21">
        <v>7</v>
      </c>
    </row>
    <row r="22" spans="2:7" x14ac:dyDescent="0.25">
      <c r="B22" s="90" t="s">
        <v>471</v>
      </c>
      <c r="C22" t="s">
        <v>744</v>
      </c>
      <c r="D22" t="s">
        <v>745</v>
      </c>
      <c r="F22">
        <v>2</v>
      </c>
    </row>
    <row r="23" spans="2:7" x14ac:dyDescent="0.25">
      <c r="B23" s="90" t="s">
        <v>487</v>
      </c>
      <c r="C23" t="s">
        <v>746</v>
      </c>
      <c r="D23" t="s">
        <v>747</v>
      </c>
      <c r="F23">
        <v>2</v>
      </c>
    </row>
    <row r="24" spans="2:7" x14ac:dyDescent="0.25">
      <c r="B24" s="90" t="s">
        <v>502</v>
      </c>
      <c r="C24" t="s">
        <v>748</v>
      </c>
      <c r="D24" t="s">
        <v>749</v>
      </c>
      <c r="F24">
        <v>3</v>
      </c>
    </row>
    <row r="25" spans="2:7" x14ac:dyDescent="0.25">
      <c r="C25" t="s">
        <v>750</v>
      </c>
    </row>
    <row r="26" spans="2:7" x14ac:dyDescent="0.25">
      <c r="C26" t="s">
        <v>535</v>
      </c>
      <c r="F26">
        <v>77</v>
      </c>
    </row>
    <row r="30" spans="2:7" x14ac:dyDescent="0.25">
      <c r="B30" s="99" t="s">
        <v>532</v>
      </c>
      <c r="C30" s="99" t="s">
        <v>46</v>
      </c>
      <c r="D30" s="99" t="s">
        <v>27</v>
      </c>
      <c r="E30" s="99" t="s">
        <v>53</v>
      </c>
    </row>
    <row r="31" spans="2:7" x14ac:dyDescent="0.25">
      <c r="B31" s="90" t="s">
        <v>21</v>
      </c>
      <c r="C31">
        <v>1</v>
      </c>
      <c r="D31">
        <v>3</v>
      </c>
      <c r="E31">
        <v>1</v>
      </c>
      <c r="F31" s="99" t="s">
        <v>27</v>
      </c>
      <c r="G31">
        <f>SUM(D31:D48)</f>
        <v>53</v>
      </c>
    </row>
    <row r="32" spans="2:7" x14ac:dyDescent="0.25">
      <c r="B32" s="90" t="s">
        <v>62</v>
      </c>
      <c r="C32">
        <v>2</v>
      </c>
      <c r="D32">
        <v>8</v>
      </c>
      <c r="F32" s="99" t="s">
        <v>53</v>
      </c>
      <c r="G32">
        <f>SUM(E31:E48)</f>
        <v>10</v>
      </c>
    </row>
    <row r="33" spans="2:7" x14ac:dyDescent="0.25">
      <c r="B33" s="90" t="s">
        <v>120</v>
      </c>
      <c r="E33">
        <v>2</v>
      </c>
      <c r="F33" s="99" t="s">
        <v>46</v>
      </c>
      <c r="G33">
        <f>SUM(C31:C48)</f>
        <v>14</v>
      </c>
    </row>
    <row r="34" spans="2:7" x14ac:dyDescent="0.25">
      <c r="B34" s="90" t="s">
        <v>137</v>
      </c>
      <c r="D34">
        <v>2</v>
      </c>
    </row>
    <row r="35" spans="2:7" x14ac:dyDescent="0.25">
      <c r="B35" s="90" t="s">
        <v>152</v>
      </c>
      <c r="D35">
        <v>2</v>
      </c>
    </row>
    <row r="36" spans="2:7" x14ac:dyDescent="0.25">
      <c r="B36" s="90" t="s">
        <v>168</v>
      </c>
      <c r="C36">
        <v>1</v>
      </c>
      <c r="D36">
        <v>1</v>
      </c>
    </row>
    <row r="37" spans="2:7" x14ac:dyDescent="0.25">
      <c r="B37" s="90" t="s">
        <v>183</v>
      </c>
      <c r="D37">
        <v>4</v>
      </c>
    </row>
    <row r="38" spans="2:7" x14ac:dyDescent="0.25">
      <c r="B38" s="90" t="s">
        <v>206</v>
      </c>
      <c r="D38">
        <v>8</v>
      </c>
    </row>
    <row r="39" spans="2:7" x14ac:dyDescent="0.25">
      <c r="B39" s="90" t="s">
        <v>253</v>
      </c>
      <c r="D39">
        <v>2</v>
      </c>
      <c r="E39">
        <v>1</v>
      </c>
    </row>
    <row r="40" spans="2:7" x14ac:dyDescent="0.25">
      <c r="B40" s="90" t="s">
        <v>277</v>
      </c>
      <c r="D40">
        <v>1</v>
      </c>
      <c r="E40">
        <v>2</v>
      </c>
    </row>
    <row r="41" spans="2:7" x14ac:dyDescent="0.25">
      <c r="B41" s="90" t="s">
        <v>299</v>
      </c>
      <c r="D41">
        <v>2</v>
      </c>
    </row>
    <row r="42" spans="2:7" x14ac:dyDescent="0.25">
      <c r="B42" s="90" t="s">
        <v>334</v>
      </c>
      <c r="C42">
        <v>10</v>
      </c>
      <c r="D42">
        <v>7</v>
      </c>
    </row>
    <row r="43" spans="2:7" x14ac:dyDescent="0.25">
      <c r="B43" s="90" t="s">
        <v>402</v>
      </c>
      <c r="D43">
        <v>1</v>
      </c>
      <c r="E43">
        <v>1</v>
      </c>
    </row>
    <row r="44" spans="2:7" x14ac:dyDescent="0.25">
      <c r="B44" s="90" t="s">
        <v>425</v>
      </c>
      <c r="D44">
        <v>1</v>
      </c>
    </row>
    <row r="45" spans="2:7" x14ac:dyDescent="0.25">
      <c r="B45" s="90" t="s">
        <v>322</v>
      </c>
      <c r="D45">
        <v>7</v>
      </c>
    </row>
    <row r="46" spans="2:7" x14ac:dyDescent="0.25">
      <c r="B46" s="90" t="s">
        <v>471</v>
      </c>
      <c r="D46">
        <v>1</v>
      </c>
      <c r="E46">
        <v>1</v>
      </c>
    </row>
    <row r="47" spans="2:7" x14ac:dyDescent="0.25">
      <c r="B47" s="90" t="s">
        <v>487</v>
      </c>
      <c r="D47">
        <v>1</v>
      </c>
      <c r="E47">
        <v>1</v>
      </c>
    </row>
    <row r="48" spans="2:7" x14ac:dyDescent="0.25">
      <c r="B48" s="90" t="s">
        <v>502</v>
      </c>
      <c r="D48">
        <v>2</v>
      </c>
      <c r="E48">
        <v>1</v>
      </c>
    </row>
    <row r="54" spans="2:7" x14ac:dyDescent="0.25">
      <c r="B54" t="s">
        <v>12</v>
      </c>
      <c r="C54" s="99" t="s">
        <v>751</v>
      </c>
      <c r="D54" s="99" t="s">
        <v>752</v>
      </c>
      <c r="E54" s="99" t="s">
        <v>72</v>
      </c>
      <c r="F54" s="99" t="s">
        <v>35</v>
      </c>
      <c r="G54" s="99" t="s">
        <v>750</v>
      </c>
    </row>
    <row r="55" spans="2:7" x14ac:dyDescent="0.25">
      <c r="B55" s="90" t="s">
        <v>46</v>
      </c>
      <c r="F55">
        <v>11</v>
      </c>
      <c r="G55">
        <v>3</v>
      </c>
    </row>
    <row r="56" spans="2:7" x14ac:dyDescent="0.25">
      <c r="B56" s="90" t="s">
        <v>27</v>
      </c>
      <c r="C56">
        <v>1</v>
      </c>
      <c r="D56">
        <v>4</v>
      </c>
      <c r="E56">
        <v>6</v>
      </c>
      <c r="F56">
        <v>41</v>
      </c>
      <c r="G56">
        <v>1</v>
      </c>
    </row>
    <row r="57" spans="2:7" x14ac:dyDescent="0.25">
      <c r="B57" s="90" t="s">
        <v>53</v>
      </c>
      <c r="E57">
        <v>2</v>
      </c>
      <c r="F57">
        <v>8</v>
      </c>
    </row>
    <row r="58" spans="2:7" x14ac:dyDescent="0.25">
      <c r="B58" s="90"/>
    </row>
    <row r="59" spans="2:7" x14ac:dyDescent="0.25">
      <c r="B59" s="90"/>
    </row>
    <row r="60" spans="2:7" x14ac:dyDescent="0.25">
      <c r="B60" s="101" t="s">
        <v>12</v>
      </c>
      <c r="C60" s="101" t="s">
        <v>27</v>
      </c>
      <c r="D60" s="101" t="s">
        <v>53</v>
      </c>
      <c r="E60" s="101" t="s">
        <v>46</v>
      </c>
    </row>
    <row r="61" spans="2:7" x14ac:dyDescent="0.25">
      <c r="B61" s="99" t="s">
        <v>753</v>
      </c>
      <c r="C61">
        <v>1</v>
      </c>
    </row>
    <row r="62" spans="2:7" x14ac:dyDescent="0.25">
      <c r="B62" s="99" t="s">
        <v>754</v>
      </c>
      <c r="C62">
        <v>6</v>
      </c>
      <c r="D62">
        <v>2</v>
      </c>
    </row>
    <row r="63" spans="2:7" x14ac:dyDescent="0.25">
      <c r="B63" s="99" t="s">
        <v>755</v>
      </c>
      <c r="C63">
        <v>41</v>
      </c>
      <c r="D63">
        <v>8</v>
      </c>
      <c r="E63">
        <v>11</v>
      </c>
    </row>
    <row r="64" spans="2:7" x14ac:dyDescent="0.25">
      <c r="B64" s="99" t="s">
        <v>756</v>
      </c>
      <c r="C64">
        <v>4</v>
      </c>
    </row>
    <row r="65" spans="2:5" x14ac:dyDescent="0.25">
      <c r="B65" s="99" t="s">
        <v>757</v>
      </c>
      <c r="C65">
        <v>1</v>
      </c>
      <c r="E65">
        <v>3</v>
      </c>
    </row>
    <row r="67" spans="2:5" x14ac:dyDescent="0.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opLeftCell="A6" workbookViewId="0">
      <selection activeCell="F12" sqref="F12"/>
    </sheetView>
  </sheetViews>
  <sheetFormatPr baseColWidth="10" defaultColWidth="11.42578125" defaultRowHeight="15" x14ac:dyDescent="0.25"/>
  <cols>
    <col min="1" max="1" width="20.5703125" customWidth="1"/>
    <col min="2" max="2" width="20.28515625" customWidth="1"/>
    <col min="3" max="3" width="16.85546875" customWidth="1"/>
    <col min="4" max="4" width="24.28515625" customWidth="1"/>
    <col min="5" max="5" width="20.28515625" customWidth="1"/>
    <col min="6" max="6" width="26.85546875" customWidth="1"/>
    <col min="7" max="7" width="30.7109375" customWidth="1"/>
    <col min="8" max="11" width="2" customWidth="1"/>
    <col min="12" max="12" width="3" customWidth="1"/>
    <col min="13" max="13" width="11" customWidth="1"/>
    <col min="14" max="14" width="15.85546875" bestFit="1" customWidth="1"/>
    <col min="15" max="15" width="12.5703125" bestFit="1" customWidth="1"/>
  </cols>
  <sheetData>
    <row r="1" spans="1:6" x14ac:dyDescent="0.25">
      <c r="A1" s="89" t="s">
        <v>758</v>
      </c>
      <c r="B1" t="s">
        <v>531</v>
      </c>
    </row>
    <row r="3" spans="1:6" x14ac:dyDescent="0.25">
      <c r="A3" s="89" t="s">
        <v>532</v>
      </c>
      <c r="B3" t="s">
        <v>759</v>
      </c>
      <c r="C3" t="s">
        <v>760</v>
      </c>
      <c r="D3" t="s">
        <v>761</v>
      </c>
      <c r="E3" t="s">
        <v>762</v>
      </c>
    </row>
    <row r="4" spans="1:6" x14ac:dyDescent="0.25">
      <c r="A4" s="90" t="s">
        <v>537</v>
      </c>
      <c r="B4">
        <v>1</v>
      </c>
      <c r="D4">
        <v>39</v>
      </c>
      <c r="F4">
        <f>SUM(B4:E4)</f>
        <v>40</v>
      </c>
    </row>
    <row r="5" spans="1:6" x14ac:dyDescent="0.25">
      <c r="A5" s="90" t="s">
        <v>763</v>
      </c>
      <c r="B5">
        <v>2</v>
      </c>
      <c r="D5">
        <v>15</v>
      </c>
      <c r="F5">
        <f>SUM(B5:E5)</f>
        <v>17</v>
      </c>
    </row>
    <row r="6" spans="1:6" x14ac:dyDescent="0.25">
      <c r="A6" s="90" t="s">
        <v>536</v>
      </c>
      <c r="B6">
        <v>2</v>
      </c>
      <c r="C6">
        <v>1</v>
      </c>
      <c r="D6">
        <v>23</v>
      </c>
      <c r="E6">
        <v>1</v>
      </c>
      <c r="F6">
        <f>SUM(B6:E6)</f>
        <v>27</v>
      </c>
    </row>
    <row r="7" spans="1:6" x14ac:dyDescent="0.25">
      <c r="A7" s="90" t="s">
        <v>764</v>
      </c>
      <c r="D7">
        <v>2</v>
      </c>
      <c r="F7">
        <f>SUM(B7:E7)</f>
        <v>2</v>
      </c>
    </row>
    <row r="8" spans="1:6" x14ac:dyDescent="0.25">
      <c r="A8" s="90" t="s">
        <v>535</v>
      </c>
      <c r="B8">
        <v>5</v>
      </c>
      <c r="C8">
        <v>1</v>
      </c>
      <c r="D8">
        <v>79</v>
      </c>
      <c r="E8">
        <v>1</v>
      </c>
      <c r="F8">
        <f>SUM(B8:E8)</f>
        <v>86</v>
      </c>
    </row>
    <row r="10" spans="1:6" x14ac:dyDescent="0.25">
      <c r="F10" s="102">
        <f>GETPIVOTDATA("Suma de En cumplimiento",$A$3)/F8</f>
        <v>0.91860465116279066</v>
      </c>
    </row>
    <row r="12" spans="1:6" x14ac:dyDescent="0.25">
      <c r="F12" s="102">
        <f>73/75</f>
        <v>0.97333333333333338</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B1:AW105"/>
  <sheetViews>
    <sheetView showGridLines="0" view="pageBreakPreview" topLeftCell="B7" zoomScaleNormal="10" zoomScaleSheetLayoutView="100" workbookViewId="0">
      <pane xSplit="5" ySplit="3" topLeftCell="G85" activePane="bottomRight" state="frozen"/>
      <selection pane="topRight" activeCell="G7" sqref="G7"/>
      <selection pane="bottomLeft" activeCell="B10" sqref="B10"/>
      <selection pane="bottomRight" activeCell="C85" sqref="C8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88" customFormat="1" ht="18.75" customHeight="1" thickBot="1" x14ac:dyDescent="0.3">
      <c r="B2" s="214"/>
      <c r="C2" s="241" t="s">
        <v>0</v>
      </c>
      <c r="D2" s="242"/>
      <c r="E2" s="275"/>
      <c r="F2" s="280" t="s">
        <v>1</v>
      </c>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81"/>
      <c r="AJ2" s="265" t="s">
        <v>538</v>
      </c>
      <c r="AK2" s="229"/>
      <c r="AL2" s="229"/>
      <c r="AM2" s="229"/>
      <c r="AN2" s="229"/>
      <c r="AO2" s="229"/>
      <c r="AP2" s="229"/>
      <c r="AQ2" s="230"/>
      <c r="AR2" s="265" t="s">
        <v>539</v>
      </c>
      <c r="AS2" s="229"/>
      <c r="AT2" s="229"/>
      <c r="AU2" s="229"/>
      <c r="AV2" s="230"/>
    </row>
    <row r="3" spans="2:48" s="88" customFormat="1" ht="18.75" customHeight="1" thickBot="1" x14ac:dyDescent="0.3">
      <c r="B3" s="215"/>
      <c r="C3" s="276"/>
      <c r="D3" s="277"/>
      <c r="E3" s="278"/>
      <c r="F3" s="282"/>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83"/>
      <c r="AJ3" s="265" t="s">
        <v>540</v>
      </c>
      <c r="AK3" s="229"/>
      <c r="AL3" s="229"/>
      <c r="AM3" s="229"/>
      <c r="AN3" s="229"/>
      <c r="AO3" s="229"/>
      <c r="AP3" s="229"/>
      <c r="AQ3" s="230"/>
      <c r="AR3" s="265">
        <v>1</v>
      </c>
      <c r="AS3" s="229"/>
      <c r="AT3" s="229"/>
      <c r="AU3" s="229"/>
      <c r="AV3" s="230"/>
    </row>
    <row r="4" spans="2:48" s="88" customFormat="1" ht="18.75" customHeight="1" thickBot="1" x14ac:dyDescent="0.3">
      <c r="B4" s="215"/>
      <c r="C4" s="246"/>
      <c r="D4" s="247"/>
      <c r="E4" s="279"/>
      <c r="F4" s="284"/>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85"/>
      <c r="AJ4" s="265" t="s">
        <v>541</v>
      </c>
      <c r="AK4" s="229"/>
      <c r="AL4" s="229"/>
      <c r="AM4" s="229"/>
      <c r="AN4" s="229"/>
      <c r="AO4" s="229"/>
      <c r="AP4" s="229"/>
      <c r="AQ4" s="230"/>
      <c r="AR4" s="269">
        <v>43896</v>
      </c>
      <c r="AS4" s="231"/>
      <c r="AT4" s="231"/>
      <c r="AU4" s="231"/>
      <c r="AV4" s="232"/>
    </row>
    <row r="5" spans="2:48" s="88" customFormat="1" ht="15" customHeight="1" x14ac:dyDescent="0.25">
      <c r="B5" s="215"/>
      <c r="C5" s="241" t="s">
        <v>2</v>
      </c>
      <c r="D5" s="242"/>
      <c r="E5" s="275"/>
      <c r="F5" s="280" t="s">
        <v>3</v>
      </c>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81"/>
      <c r="AJ5" s="241" t="s">
        <v>542</v>
      </c>
      <c r="AK5" s="242"/>
      <c r="AL5" s="242"/>
      <c r="AM5" s="242"/>
      <c r="AN5" s="242"/>
      <c r="AO5" s="242"/>
      <c r="AP5" s="242"/>
      <c r="AQ5" s="275"/>
      <c r="AR5" s="251" t="s">
        <v>543</v>
      </c>
      <c r="AS5" s="210"/>
      <c r="AT5" s="210"/>
      <c r="AU5" s="210"/>
      <c r="AV5" s="211"/>
    </row>
    <row r="6" spans="2:48" s="88" customFormat="1" ht="15.75" customHeight="1" thickBot="1" x14ac:dyDescent="0.3">
      <c r="B6" s="216"/>
      <c r="C6" s="246"/>
      <c r="D6" s="247"/>
      <c r="E6" s="279"/>
      <c r="F6" s="284"/>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85"/>
      <c r="AJ6" s="246"/>
      <c r="AK6" s="247"/>
      <c r="AL6" s="247"/>
      <c r="AM6" s="247"/>
      <c r="AN6" s="247"/>
      <c r="AO6" s="247"/>
      <c r="AP6" s="247"/>
      <c r="AQ6" s="279"/>
      <c r="AR6" s="253"/>
      <c r="AS6" s="212"/>
      <c r="AT6" s="212"/>
      <c r="AU6" s="212"/>
      <c r="AV6" s="213"/>
    </row>
    <row r="7" spans="2:48" ht="13.5" thickBot="1" x14ac:dyDescent="0.3"/>
    <row r="8" spans="2:48" ht="15" customHeight="1" x14ac:dyDescent="0.25">
      <c r="B8" s="288" t="s">
        <v>4</v>
      </c>
      <c r="C8" s="273" t="s">
        <v>5</v>
      </c>
      <c r="D8" s="273" t="s">
        <v>6</v>
      </c>
      <c r="E8" s="273" t="s">
        <v>7</v>
      </c>
      <c r="F8" s="273" t="s">
        <v>8</v>
      </c>
      <c r="G8" s="271" t="s">
        <v>9</v>
      </c>
      <c r="H8" s="273" t="s">
        <v>10</v>
      </c>
      <c r="I8" s="286" t="s">
        <v>11</v>
      </c>
      <c r="J8" s="273" t="s">
        <v>12</v>
      </c>
      <c r="K8" s="273" t="s">
        <v>13</v>
      </c>
      <c r="L8" s="273" t="s">
        <v>14</v>
      </c>
      <c r="M8" s="273" t="s">
        <v>15</v>
      </c>
      <c r="N8" s="273"/>
      <c r="O8" s="273"/>
      <c r="P8" s="273"/>
      <c r="Q8" s="273" t="s">
        <v>16</v>
      </c>
      <c r="R8" s="273" t="s">
        <v>17</v>
      </c>
      <c r="S8" s="273" t="s">
        <v>18</v>
      </c>
      <c r="T8" s="273" t="s">
        <v>546</v>
      </c>
      <c r="U8" s="273"/>
      <c r="V8" s="273" t="s">
        <v>547</v>
      </c>
      <c r="W8" s="273"/>
      <c r="X8" s="273" t="s">
        <v>548</v>
      </c>
      <c r="Y8" s="273"/>
      <c r="Z8" s="273" t="s">
        <v>549</v>
      </c>
      <c r="AA8" s="273"/>
      <c r="AB8" s="273" t="s">
        <v>550</v>
      </c>
      <c r="AC8" s="273"/>
      <c r="AD8" s="273" t="s">
        <v>551</v>
      </c>
      <c r="AE8" s="273"/>
      <c r="AF8" s="273" t="s">
        <v>552</v>
      </c>
      <c r="AG8" s="273"/>
      <c r="AH8" s="273" t="s">
        <v>553</v>
      </c>
      <c r="AI8" s="273"/>
      <c r="AJ8" s="273" t="s">
        <v>554</v>
      </c>
      <c r="AK8" s="273"/>
      <c r="AL8" s="273" t="s">
        <v>555</v>
      </c>
      <c r="AM8" s="273"/>
      <c r="AN8" s="273" t="s">
        <v>556</v>
      </c>
      <c r="AO8" s="273"/>
      <c r="AP8" s="273" t="s">
        <v>557</v>
      </c>
      <c r="AQ8" s="273"/>
      <c r="AR8" s="273" t="s">
        <v>765</v>
      </c>
      <c r="AS8" s="273"/>
      <c r="AT8" s="273" t="s">
        <v>562</v>
      </c>
      <c r="AU8" s="273" t="s">
        <v>19</v>
      </c>
      <c r="AV8" s="293" t="s">
        <v>20</v>
      </c>
    </row>
    <row r="9" spans="2:48" x14ac:dyDescent="0.25">
      <c r="B9" s="289"/>
      <c r="C9" s="274"/>
      <c r="D9" s="274"/>
      <c r="E9" s="274"/>
      <c r="F9" s="274"/>
      <c r="G9" s="272"/>
      <c r="H9" s="274"/>
      <c r="I9" s="287"/>
      <c r="J9" s="274"/>
      <c r="K9" s="274"/>
      <c r="L9" s="274"/>
      <c r="M9" s="152" t="s">
        <v>579</v>
      </c>
      <c r="N9" s="152" t="s">
        <v>766</v>
      </c>
      <c r="O9" s="152" t="s">
        <v>767</v>
      </c>
      <c r="P9" s="152" t="s">
        <v>768</v>
      </c>
      <c r="Q9" s="274"/>
      <c r="R9" s="274"/>
      <c r="S9" s="274"/>
      <c r="T9" s="152" t="s">
        <v>769</v>
      </c>
      <c r="U9" s="152" t="s">
        <v>770</v>
      </c>
      <c r="V9" s="152" t="s">
        <v>769</v>
      </c>
      <c r="W9" s="152" t="s">
        <v>770</v>
      </c>
      <c r="X9" s="152" t="s">
        <v>769</v>
      </c>
      <c r="Y9" s="152" t="s">
        <v>770</v>
      </c>
      <c r="Z9" s="152" t="s">
        <v>769</v>
      </c>
      <c r="AA9" s="152" t="s">
        <v>770</v>
      </c>
      <c r="AB9" s="152" t="s">
        <v>769</v>
      </c>
      <c r="AC9" s="152" t="s">
        <v>770</v>
      </c>
      <c r="AD9" s="152" t="s">
        <v>769</v>
      </c>
      <c r="AE9" s="152" t="s">
        <v>770</v>
      </c>
      <c r="AF9" s="152" t="s">
        <v>769</v>
      </c>
      <c r="AG9" s="152" t="s">
        <v>770</v>
      </c>
      <c r="AH9" s="152" t="s">
        <v>769</v>
      </c>
      <c r="AI9" s="152" t="s">
        <v>770</v>
      </c>
      <c r="AJ9" s="152" t="s">
        <v>769</v>
      </c>
      <c r="AK9" s="152" t="s">
        <v>770</v>
      </c>
      <c r="AL9" s="152" t="s">
        <v>769</v>
      </c>
      <c r="AM9" s="152" t="s">
        <v>770</v>
      </c>
      <c r="AN9" s="152" t="s">
        <v>769</v>
      </c>
      <c r="AO9" s="152" t="s">
        <v>770</v>
      </c>
      <c r="AP9" s="152" t="s">
        <v>769</v>
      </c>
      <c r="AQ9" s="152" t="s">
        <v>770</v>
      </c>
      <c r="AR9" s="152" t="s">
        <v>769</v>
      </c>
      <c r="AS9" s="152" t="s">
        <v>770</v>
      </c>
      <c r="AT9" s="274"/>
      <c r="AU9" s="274"/>
      <c r="AV9" s="294"/>
    </row>
    <row r="10" spans="2:48" ht="76.5" hidden="1" customHeight="1" x14ac:dyDescent="0.25">
      <c r="B10" s="65">
        <v>1</v>
      </c>
      <c r="C10" s="2" t="s">
        <v>62</v>
      </c>
      <c r="D10" s="6" t="s">
        <v>63</v>
      </c>
      <c r="E10" s="2" t="s">
        <v>64</v>
      </c>
      <c r="F10" s="6" t="s">
        <v>771</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751</v>
      </c>
      <c r="AV10" s="60"/>
    </row>
    <row r="11" spans="2:48" ht="76.5" hidden="1" customHeight="1" x14ac:dyDescent="0.25">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72</v>
      </c>
      <c r="AV11" s="60"/>
    </row>
    <row r="12" spans="2:48" ht="76.5" hidden="1" customHeight="1" x14ac:dyDescent="0.25">
      <c r="B12" s="65">
        <v>3</v>
      </c>
      <c r="C12" s="2" t="s">
        <v>62</v>
      </c>
      <c r="D12" s="6" t="s">
        <v>80</v>
      </c>
      <c r="E12" s="5" t="s">
        <v>772</v>
      </c>
      <c r="F12" s="5" t="s">
        <v>773</v>
      </c>
      <c r="G12" s="91" t="s">
        <v>774</v>
      </c>
      <c r="H12" s="5" t="s">
        <v>67</v>
      </c>
      <c r="I12" s="2" t="s">
        <v>27</v>
      </c>
      <c r="J12" s="2" t="s">
        <v>68</v>
      </c>
      <c r="K12" s="2" t="s">
        <v>29</v>
      </c>
      <c r="L12" s="2" t="s">
        <v>69</v>
      </c>
      <c r="M12" s="6" t="s">
        <v>775</v>
      </c>
      <c r="N12" s="6" t="s">
        <v>776</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751</v>
      </c>
      <c r="AV12" s="60"/>
    </row>
    <row r="13" spans="2:48" ht="76.5" hidden="1" customHeight="1" x14ac:dyDescent="0.25">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751</v>
      </c>
      <c r="AV13" s="60"/>
    </row>
    <row r="14" spans="2:48" ht="104.25" hidden="1" customHeight="1" x14ac:dyDescent="0.25">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751</v>
      </c>
      <c r="AV14" s="60"/>
    </row>
    <row r="15" spans="2:48" ht="76.5" hidden="1" customHeight="1" x14ac:dyDescent="0.25">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72</v>
      </c>
      <c r="AV15" s="60" t="s">
        <v>777</v>
      </c>
    </row>
    <row r="16" spans="2:48" ht="76.5" hidden="1" customHeight="1" x14ac:dyDescent="0.25">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72</v>
      </c>
      <c r="AV16" s="60"/>
    </row>
    <row r="17" spans="2:48" ht="76.5" hidden="1" customHeight="1" x14ac:dyDescent="0.25">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778</v>
      </c>
    </row>
    <row r="18" spans="2:48" ht="93.75" hidden="1" customHeight="1" x14ac:dyDescent="0.25">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x14ac:dyDescent="0.25">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779</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x14ac:dyDescent="0.25">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780</v>
      </c>
    </row>
    <row r="21" spans="2:48" ht="99.75" hidden="1" customHeight="1" x14ac:dyDescent="0.25">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x14ac:dyDescent="0.25">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781</v>
      </c>
    </row>
    <row r="23" spans="2:48" ht="93" hidden="1" customHeight="1" x14ac:dyDescent="0.25">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x14ac:dyDescent="0.25">
      <c r="B24" s="65"/>
      <c r="C24" s="2" t="s">
        <v>21</v>
      </c>
      <c r="D24" s="6" t="s">
        <v>22</v>
      </c>
      <c r="E24" s="2" t="s">
        <v>23</v>
      </c>
      <c r="F24" s="6" t="s">
        <v>782</v>
      </c>
      <c r="G24" s="6" t="s">
        <v>783</v>
      </c>
      <c r="H24" s="2" t="s">
        <v>26</v>
      </c>
      <c r="I24" s="2" t="s">
        <v>27</v>
      </c>
      <c r="J24" s="2" t="s">
        <v>39</v>
      </c>
      <c r="K24" s="2" t="s">
        <v>29</v>
      </c>
      <c r="L24" s="2" t="s">
        <v>784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785</v>
      </c>
    </row>
    <row r="25" spans="2:48" ht="115.5" hidden="1" customHeight="1" x14ac:dyDescent="0.25">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786</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751</v>
      </c>
      <c r="AV25" s="60" t="s">
        <v>787</v>
      </c>
    </row>
    <row r="26" spans="2:48" ht="115.5" hidden="1" customHeight="1" x14ac:dyDescent="0.25">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x14ac:dyDescent="0.25">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x14ac:dyDescent="0.25">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x14ac:dyDescent="0.25">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788</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x14ac:dyDescent="0.25">
      <c r="B30" s="65">
        <v>20</v>
      </c>
      <c r="C30" s="2" t="s">
        <v>137</v>
      </c>
      <c r="D30" s="6" t="s">
        <v>138</v>
      </c>
      <c r="E30" s="2" t="s">
        <v>139</v>
      </c>
      <c r="F30" s="6" t="s">
        <v>789</v>
      </c>
      <c r="G30" s="6" t="s">
        <v>790</v>
      </c>
      <c r="H30" s="2" t="s">
        <v>142</v>
      </c>
      <c r="I30" s="2" t="s">
        <v>27</v>
      </c>
      <c r="J30" s="2" t="s">
        <v>68</v>
      </c>
      <c r="K30" s="2" t="s">
        <v>29</v>
      </c>
      <c r="L30" s="2" t="s">
        <v>143</v>
      </c>
      <c r="M30" s="6" t="s">
        <v>791</v>
      </c>
      <c r="N30" s="6" t="s">
        <v>792</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x14ac:dyDescent="0.25">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x14ac:dyDescent="0.25">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x14ac:dyDescent="0.25">
      <c r="B33" s="65">
        <v>23</v>
      </c>
      <c r="C33" s="2" t="s">
        <v>168</v>
      </c>
      <c r="D33" s="6" t="s">
        <v>169</v>
      </c>
      <c r="E33" s="2" t="s">
        <v>170</v>
      </c>
      <c r="F33" s="6" t="s">
        <v>171</v>
      </c>
      <c r="G33" s="6" t="s">
        <v>172</v>
      </c>
      <c r="H33" s="2" t="s">
        <v>173</v>
      </c>
      <c r="I33" s="2" t="s">
        <v>27</v>
      </c>
      <c r="J33" s="2" t="s">
        <v>68</v>
      </c>
      <c r="K33" s="2" t="s">
        <v>29</v>
      </c>
      <c r="L33" s="2" t="s">
        <v>69</v>
      </c>
      <c r="M33" s="6" t="s">
        <v>174</v>
      </c>
      <c r="N33" s="6" t="s">
        <v>793</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794</v>
      </c>
    </row>
    <row r="34" spans="2:48" ht="113.25" hidden="1" customHeight="1" x14ac:dyDescent="0.25">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x14ac:dyDescent="0.25">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751</v>
      </c>
      <c r="AV35" s="60" t="s">
        <v>777</v>
      </c>
    </row>
    <row r="36" spans="2:48" ht="63.75" hidden="1" x14ac:dyDescent="0.25">
      <c r="B36" s="65">
        <v>26</v>
      </c>
      <c r="C36" s="2" t="s">
        <v>183</v>
      </c>
      <c r="D36" s="6" t="s">
        <v>184</v>
      </c>
      <c r="E36" s="2" t="s">
        <v>185</v>
      </c>
      <c r="F36" s="6" t="s">
        <v>196</v>
      </c>
      <c r="G36" s="6" t="s">
        <v>197</v>
      </c>
      <c r="H36" s="2" t="s">
        <v>188</v>
      </c>
      <c r="I36" s="2" t="s">
        <v>27</v>
      </c>
      <c r="J36" s="2" t="s">
        <v>68</v>
      </c>
      <c r="K36" s="2" t="s">
        <v>795</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751</v>
      </c>
      <c r="AV36" s="60" t="s">
        <v>777</v>
      </c>
    </row>
    <row r="37" spans="2:48" ht="63.75" hidden="1" x14ac:dyDescent="0.25">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x14ac:dyDescent="0.25">
      <c r="B38" s="65">
        <v>28</v>
      </c>
      <c r="C38" s="2" t="s">
        <v>183</v>
      </c>
      <c r="D38" s="6" t="s">
        <v>184</v>
      </c>
      <c r="E38" s="2" t="s">
        <v>185</v>
      </c>
      <c r="F38" s="6" t="s">
        <v>796</v>
      </c>
      <c r="G38" s="6" t="s">
        <v>797</v>
      </c>
      <c r="H38" s="2" t="s">
        <v>798</v>
      </c>
      <c r="I38" s="2" t="s">
        <v>27</v>
      </c>
      <c r="J38" s="2" t="s">
        <v>133</v>
      </c>
      <c r="K38" s="2" t="s">
        <v>29</v>
      </c>
      <c r="L38" s="2" t="s">
        <v>69</v>
      </c>
      <c r="M38" s="6" t="s">
        <v>799</v>
      </c>
      <c r="N38" s="6" t="s">
        <v>800</v>
      </c>
      <c r="O38" s="2"/>
      <c r="P38" s="2"/>
      <c r="Q38" s="5" t="s">
        <v>33</v>
      </c>
      <c r="R38" s="5" t="s">
        <v>801</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802</v>
      </c>
    </row>
    <row r="39" spans="2:48" ht="87" hidden="1" customHeight="1" x14ac:dyDescent="0.25">
      <c r="B39" s="65">
        <v>29</v>
      </c>
      <c r="C39" s="2" t="s">
        <v>253</v>
      </c>
      <c r="D39" s="6" t="s">
        <v>254</v>
      </c>
      <c r="E39" s="2" t="s">
        <v>255</v>
      </c>
      <c r="F39" s="6" t="s">
        <v>803</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x14ac:dyDescent="0.25">
      <c r="B40" s="65">
        <v>30</v>
      </c>
      <c r="C40" s="2" t="s">
        <v>253</v>
      </c>
      <c r="D40" s="6" t="s">
        <v>254</v>
      </c>
      <c r="E40" s="2" t="s">
        <v>255</v>
      </c>
      <c r="F40" s="6" t="s">
        <v>804</v>
      </c>
      <c r="G40" s="6" t="s">
        <v>805</v>
      </c>
      <c r="H40" s="2" t="s">
        <v>258</v>
      </c>
      <c r="I40" s="2" t="s">
        <v>27</v>
      </c>
      <c r="J40" s="2" t="s">
        <v>68</v>
      </c>
      <c r="K40" s="2" t="s">
        <v>29</v>
      </c>
      <c r="L40" s="2" t="s">
        <v>69</v>
      </c>
      <c r="M40" s="6" t="s">
        <v>806</v>
      </c>
      <c r="N40" s="6" t="s">
        <v>807</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751</v>
      </c>
      <c r="AV40" s="60"/>
    </row>
    <row r="41" spans="2:48" ht="87" hidden="1" customHeight="1" x14ac:dyDescent="0.25">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808</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x14ac:dyDescent="0.25">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x14ac:dyDescent="0.25">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809</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751</v>
      </c>
      <c r="AV43" s="60"/>
    </row>
    <row r="44" spans="2:48" ht="102" hidden="1" customHeight="1" x14ac:dyDescent="0.25">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751</v>
      </c>
      <c r="AV44" s="60"/>
    </row>
    <row r="45" spans="2:48" ht="93.75" hidden="1" customHeight="1" x14ac:dyDescent="0.25">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x14ac:dyDescent="0.25">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x14ac:dyDescent="0.25">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x14ac:dyDescent="0.25">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x14ac:dyDescent="0.25">
      <c r="B49" s="65">
        <v>39</v>
      </c>
      <c r="C49" s="2" t="s">
        <v>206</v>
      </c>
      <c r="D49" s="6" t="s">
        <v>207</v>
      </c>
      <c r="E49" s="6" t="s">
        <v>216</v>
      </c>
      <c r="F49" s="6" t="s">
        <v>810</v>
      </c>
      <c r="G49" s="6" t="s">
        <v>811</v>
      </c>
      <c r="H49" s="2" t="s">
        <v>211</v>
      </c>
      <c r="I49" s="2" t="s">
        <v>27</v>
      </c>
      <c r="J49" s="2" t="s">
        <v>68</v>
      </c>
      <c r="K49" s="2" t="s">
        <v>29</v>
      </c>
      <c r="L49" s="2" t="s">
        <v>69</v>
      </c>
      <c r="M49" s="6" t="s">
        <v>812</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x14ac:dyDescent="0.25">
      <c r="B50" s="65">
        <v>40</v>
      </c>
      <c r="C50" s="2" t="s">
        <v>206</v>
      </c>
      <c r="D50" s="6" t="s">
        <v>207</v>
      </c>
      <c r="E50" s="6" t="s">
        <v>207</v>
      </c>
      <c r="F50" s="6" t="s">
        <v>813</v>
      </c>
      <c r="G50" s="6" t="s">
        <v>814</v>
      </c>
      <c r="H50" s="2" t="s">
        <v>211</v>
      </c>
      <c r="I50" s="2" t="s">
        <v>27</v>
      </c>
      <c r="J50" s="2" t="s">
        <v>39</v>
      </c>
      <c r="K50" s="2" t="s">
        <v>29</v>
      </c>
      <c r="L50" s="2" t="s">
        <v>240</v>
      </c>
      <c r="M50" s="6" t="s">
        <v>815</v>
      </c>
      <c r="N50" s="6" t="s">
        <v>816</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x14ac:dyDescent="0.25">
      <c r="B51" s="65">
        <v>9</v>
      </c>
      <c r="C51" s="2" t="s">
        <v>206</v>
      </c>
      <c r="D51" s="6" t="s">
        <v>207</v>
      </c>
      <c r="E51" s="6" t="s">
        <v>216</v>
      </c>
      <c r="F51" s="6" t="s">
        <v>817</v>
      </c>
      <c r="G51" s="6" t="s">
        <v>818</v>
      </c>
      <c r="H51" s="2" t="s">
        <v>211</v>
      </c>
      <c r="I51" s="2" t="s">
        <v>27</v>
      </c>
      <c r="J51" s="2" t="s">
        <v>68</v>
      </c>
      <c r="K51" s="2" t="s">
        <v>29</v>
      </c>
      <c r="L51" s="2" t="s">
        <v>240</v>
      </c>
      <c r="M51" s="6" t="s">
        <v>246</v>
      </c>
      <c r="N51" s="6" t="s">
        <v>819</v>
      </c>
      <c r="O51" s="2"/>
      <c r="P51" s="2"/>
      <c r="Q51" s="5" t="s">
        <v>214</v>
      </c>
      <c r="R51" s="5" t="s">
        <v>801</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820</v>
      </c>
    </row>
    <row r="52" spans="2:48" ht="108" hidden="1" customHeight="1" x14ac:dyDescent="0.25">
      <c r="B52" s="65">
        <v>42</v>
      </c>
      <c r="C52" s="2" t="s">
        <v>206</v>
      </c>
      <c r="D52" s="6" t="s">
        <v>207</v>
      </c>
      <c r="E52" s="6" t="s">
        <v>216</v>
      </c>
      <c r="F52" s="6" t="s">
        <v>821</v>
      </c>
      <c r="G52" s="6" t="s">
        <v>822</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x14ac:dyDescent="0.25">
      <c r="B53" s="65">
        <v>43</v>
      </c>
      <c r="C53" s="2" t="s">
        <v>206</v>
      </c>
      <c r="D53" s="6" t="s">
        <v>207</v>
      </c>
      <c r="E53" s="2" t="s">
        <v>216</v>
      </c>
      <c r="F53" s="6" t="s">
        <v>823</v>
      </c>
      <c r="G53" s="6" t="s">
        <v>824</v>
      </c>
      <c r="H53" s="2" t="s">
        <v>211</v>
      </c>
      <c r="I53" s="2" t="s">
        <v>27</v>
      </c>
      <c r="J53" s="2" t="s">
        <v>68</v>
      </c>
      <c r="K53" s="2" t="s">
        <v>29</v>
      </c>
      <c r="L53" s="2" t="s">
        <v>240</v>
      </c>
      <c r="M53" s="6" t="s">
        <v>825</v>
      </c>
      <c r="N53" s="6" t="s">
        <v>826</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x14ac:dyDescent="0.25">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x14ac:dyDescent="0.25">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827</v>
      </c>
    </row>
    <row r="56" spans="2:48" ht="103.5" hidden="1" customHeight="1" x14ac:dyDescent="0.25">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x14ac:dyDescent="0.25">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x14ac:dyDescent="0.25">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x14ac:dyDescent="0.25">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x14ac:dyDescent="0.25">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x14ac:dyDescent="0.25">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x14ac:dyDescent="0.25">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x14ac:dyDescent="0.25">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x14ac:dyDescent="0.25">
      <c r="B64" s="65">
        <v>54</v>
      </c>
      <c r="C64" s="2" t="s">
        <v>334</v>
      </c>
      <c r="D64" s="6" t="s">
        <v>335</v>
      </c>
      <c r="E64" s="2" t="s">
        <v>336</v>
      </c>
      <c r="F64" s="6" t="s">
        <v>828</v>
      </c>
      <c r="G64" s="6" t="s">
        <v>829</v>
      </c>
      <c r="H64" s="2" t="s">
        <v>339</v>
      </c>
      <c r="I64" s="2" t="s">
        <v>53</v>
      </c>
      <c r="J64" s="2" t="s">
        <v>39</v>
      </c>
      <c r="K64" s="2" t="s">
        <v>265</v>
      </c>
      <c r="L64" s="2" t="s">
        <v>30</v>
      </c>
      <c r="M64" s="6" t="s">
        <v>830</v>
      </c>
      <c r="N64" s="6" t="s">
        <v>831</v>
      </c>
      <c r="O64" s="2"/>
      <c r="P64" s="2"/>
      <c r="Q64" s="5" t="s">
        <v>832</v>
      </c>
      <c r="R64" s="5" t="s">
        <v>801</v>
      </c>
      <c r="S64" s="5" t="s">
        <v>833</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x14ac:dyDescent="0.25">
      <c r="B65" s="65">
        <v>55</v>
      </c>
      <c r="C65" s="2" t="s">
        <v>334</v>
      </c>
      <c r="D65" s="6" t="s">
        <v>335</v>
      </c>
      <c r="E65" s="2" t="s">
        <v>336</v>
      </c>
      <c r="F65" s="6" t="s">
        <v>834</v>
      </c>
      <c r="G65" s="6" t="s">
        <v>835</v>
      </c>
      <c r="H65" s="2" t="s">
        <v>339</v>
      </c>
      <c r="I65" s="2" t="s">
        <v>27</v>
      </c>
      <c r="J65" s="2" t="s">
        <v>39</v>
      </c>
      <c r="K65" s="2" t="s">
        <v>29</v>
      </c>
      <c r="L65" s="2" t="s">
        <v>30</v>
      </c>
      <c r="M65" s="6" t="s">
        <v>836</v>
      </c>
      <c r="N65" s="6" t="s">
        <v>837</v>
      </c>
      <c r="O65" s="2" t="s">
        <v>838</v>
      </c>
      <c r="P65" s="2"/>
      <c r="Q65" s="5" t="s">
        <v>214</v>
      </c>
      <c r="R65" s="5" t="s">
        <v>801</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751</v>
      </c>
      <c r="AV65" s="60"/>
    </row>
    <row r="66" spans="2:48" ht="77.25" customHeight="1" x14ac:dyDescent="0.25">
      <c r="B66" s="65">
        <v>56</v>
      </c>
      <c r="C66" s="2" t="s">
        <v>334</v>
      </c>
      <c r="D66" s="6" t="s">
        <v>335</v>
      </c>
      <c r="E66" s="2" t="s">
        <v>336</v>
      </c>
      <c r="F66" s="6" t="s">
        <v>839</v>
      </c>
      <c r="G66" s="6" t="s">
        <v>840</v>
      </c>
      <c r="H66" s="2" t="s">
        <v>339</v>
      </c>
      <c r="I66" s="2" t="s">
        <v>53</v>
      </c>
      <c r="J66" s="2" t="s">
        <v>39</v>
      </c>
      <c r="K66" s="2" t="s">
        <v>265</v>
      </c>
      <c r="L66" s="2" t="s">
        <v>30</v>
      </c>
      <c r="M66" s="6" t="s">
        <v>841</v>
      </c>
      <c r="N66" s="6" t="s">
        <v>842</v>
      </c>
      <c r="O66" s="2"/>
      <c r="P66" s="2"/>
      <c r="Q66" s="5" t="s">
        <v>832</v>
      </c>
      <c r="R66" s="5" t="s">
        <v>801</v>
      </c>
      <c r="S66" s="5" t="s">
        <v>833</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843</v>
      </c>
    </row>
    <row r="67" spans="2:48" ht="77.25" customHeight="1" x14ac:dyDescent="0.25">
      <c r="B67" s="65">
        <v>57</v>
      </c>
      <c r="C67" s="2" t="s">
        <v>334</v>
      </c>
      <c r="D67" s="6" t="s">
        <v>335</v>
      </c>
      <c r="E67" s="2" t="s">
        <v>336</v>
      </c>
      <c r="F67" s="6" t="s">
        <v>844</v>
      </c>
      <c r="G67" s="6" t="s">
        <v>845</v>
      </c>
      <c r="H67" s="2" t="s">
        <v>339</v>
      </c>
      <c r="I67" s="2" t="s">
        <v>53</v>
      </c>
      <c r="J67" s="2" t="s">
        <v>133</v>
      </c>
      <c r="K67" s="2" t="s">
        <v>846</v>
      </c>
      <c r="L67" s="2" t="s">
        <v>847</v>
      </c>
      <c r="M67" s="6" t="s">
        <v>848</v>
      </c>
      <c r="N67" s="6" t="s">
        <v>849</v>
      </c>
      <c r="O67" s="2"/>
      <c r="P67" s="2"/>
      <c r="Q67" s="5" t="s">
        <v>850</v>
      </c>
      <c r="R67" s="5" t="s">
        <v>801</v>
      </c>
      <c r="S67" s="5" t="s">
        <v>851</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x14ac:dyDescent="0.25">
      <c r="B68" s="65">
        <v>58</v>
      </c>
      <c r="C68" s="2" t="s">
        <v>334</v>
      </c>
      <c r="D68" s="6" t="s">
        <v>335</v>
      </c>
      <c r="E68" s="2" t="s">
        <v>336</v>
      </c>
      <c r="F68" s="6" t="s">
        <v>852</v>
      </c>
      <c r="G68" s="6" t="s">
        <v>853</v>
      </c>
      <c r="H68" s="2" t="s">
        <v>339</v>
      </c>
      <c r="I68" s="2" t="s">
        <v>53</v>
      </c>
      <c r="J68" s="2" t="s">
        <v>133</v>
      </c>
      <c r="K68" s="2" t="s">
        <v>846</v>
      </c>
      <c r="L68" s="2" t="s">
        <v>847</v>
      </c>
      <c r="M68" s="6" t="s">
        <v>848</v>
      </c>
      <c r="N68" s="6" t="s">
        <v>849</v>
      </c>
      <c r="O68" s="2"/>
      <c r="P68" s="2"/>
      <c r="Q68" s="5" t="s">
        <v>850</v>
      </c>
      <c r="R68" s="5" t="s">
        <v>801</v>
      </c>
      <c r="S68" s="5" t="s">
        <v>851</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x14ac:dyDescent="0.25">
      <c r="B69" s="65">
        <v>59</v>
      </c>
      <c r="C69" s="2" t="s">
        <v>334</v>
      </c>
      <c r="D69" s="6" t="s">
        <v>335</v>
      </c>
      <c r="E69" s="2" t="s">
        <v>336</v>
      </c>
      <c r="F69" s="6" t="s">
        <v>854</v>
      </c>
      <c r="G69" s="6" t="s">
        <v>855</v>
      </c>
      <c r="H69" s="2" t="s">
        <v>339</v>
      </c>
      <c r="I69" s="2" t="s">
        <v>53</v>
      </c>
      <c r="J69" s="2" t="s">
        <v>133</v>
      </c>
      <c r="K69" s="2" t="s">
        <v>846</v>
      </c>
      <c r="L69" s="2" t="s">
        <v>847</v>
      </c>
      <c r="M69" s="6" t="s">
        <v>856</v>
      </c>
      <c r="N69" s="6" t="s">
        <v>857</v>
      </c>
      <c r="O69" s="2"/>
      <c r="P69" s="2"/>
      <c r="Q69" s="5" t="s">
        <v>850</v>
      </c>
      <c r="R69" s="5" t="s">
        <v>801</v>
      </c>
      <c r="S69" s="5" t="s">
        <v>858</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859</v>
      </c>
    </row>
    <row r="70" spans="2:48" ht="77.25" customHeight="1" x14ac:dyDescent="0.25">
      <c r="B70" s="65">
        <v>60</v>
      </c>
      <c r="C70" s="2" t="s">
        <v>334</v>
      </c>
      <c r="D70" s="6" t="s">
        <v>335</v>
      </c>
      <c r="E70" s="2" t="s">
        <v>336</v>
      </c>
      <c r="F70" s="6" t="s">
        <v>860</v>
      </c>
      <c r="G70" s="6" t="s">
        <v>861</v>
      </c>
      <c r="H70" s="2" t="s">
        <v>339</v>
      </c>
      <c r="I70" s="2" t="s">
        <v>53</v>
      </c>
      <c r="J70" s="2" t="s">
        <v>133</v>
      </c>
      <c r="K70" s="2" t="s">
        <v>846</v>
      </c>
      <c r="L70" s="2" t="s">
        <v>847</v>
      </c>
      <c r="M70" s="6" t="s">
        <v>862</v>
      </c>
      <c r="N70" s="6" t="s">
        <v>863</v>
      </c>
      <c r="O70" s="2"/>
      <c r="P70" s="2"/>
      <c r="Q70" s="5" t="s">
        <v>850</v>
      </c>
      <c r="R70" s="5" t="s">
        <v>801</v>
      </c>
      <c r="S70" s="5" t="s">
        <v>858</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864</v>
      </c>
    </row>
    <row r="71" spans="2:48" ht="77.25" hidden="1" customHeight="1" x14ac:dyDescent="0.25">
      <c r="B71" s="65">
        <v>61</v>
      </c>
      <c r="C71" s="2" t="s">
        <v>334</v>
      </c>
      <c r="D71" s="6" t="s">
        <v>335</v>
      </c>
      <c r="E71" s="2" t="s">
        <v>336</v>
      </c>
      <c r="F71" s="6" t="s">
        <v>865</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x14ac:dyDescent="0.25">
      <c r="B72" s="65">
        <v>62</v>
      </c>
      <c r="C72" s="2" t="s">
        <v>334</v>
      </c>
      <c r="D72" s="6" t="s">
        <v>335</v>
      </c>
      <c r="E72" s="2" t="s">
        <v>336</v>
      </c>
      <c r="F72" s="6" t="s">
        <v>866</v>
      </c>
      <c r="G72" s="6" t="s">
        <v>867</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x14ac:dyDescent="0.25">
      <c r="B73" s="65">
        <v>63</v>
      </c>
      <c r="C73" s="2" t="s">
        <v>334</v>
      </c>
      <c r="D73" s="6" t="s">
        <v>335</v>
      </c>
      <c r="E73" s="2" t="s">
        <v>336</v>
      </c>
      <c r="F73" s="6" t="s">
        <v>868</v>
      </c>
      <c r="G73" s="6" t="s">
        <v>869</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x14ac:dyDescent="0.25">
      <c r="B74" s="65">
        <v>64</v>
      </c>
      <c r="C74" s="2" t="s">
        <v>334</v>
      </c>
      <c r="D74" s="6" t="s">
        <v>335</v>
      </c>
      <c r="E74" s="2" t="s">
        <v>336</v>
      </c>
      <c r="F74" s="6" t="s">
        <v>870</v>
      </c>
      <c r="G74" s="6" t="s">
        <v>871</v>
      </c>
      <c r="H74" s="2" t="s">
        <v>339</v>
      </c>
      <c r="I74" s="2" t="s">
        <v>27</v>
      </c>
      <c r="J74" s="2" t="s">
        <v>39</v>
      </c>
      <c r="K74" s="2" t="s">
        <v>29</v>
      </c>
      <c r="L74" s="2" t="s">
        <v>143</v>
      </c>
      <c r="M74" s="6" t="s">
        <v>872</v>
      </c>
      <c r="N74" s="6" t="s">
        <v>873</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x14ac:dyDescent="0.25">
      <c r="B75" s="65">
        <v>65</v>
      </c>
      <c r="C75" s="2" t="s">
        <v>334</v>
      </c>
      <c r="D75" s="6" t="s">
        <v>335</v>
      </c>
      <c r="E75" s="2" t="s">
        <v>336</v>
      </c>
      <c r="F75" s="6" t="s">
        <v>874</v>
      </c>
      <c r="G75" s="6" t="s">
        <v>875</v>
      </c>
      <c r="H75" s="2" t="s">
        <v>339</v>
      </c>
      <c r="I75" s="2" t="s">
        <v>27</v>
      </c>
      <c r="J75" s="2" t="s">
        <v>39</v>
      </c>
      <c r="K75" s="2" t="s">
        <v>29</v>
      </c>
      <c r="L75" s="2" t="s">
        <v>143</v>
      </c>
      <c r="M75" s="6" t="s">
        <v>872</v>
      </c>
      <c r="N75" s="6" t="s">
        <v>873</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x14ac:dyDescent="0.25">
      <c r="B76" s="65">
        <v>66</v>
      </c>
      <c r="C76" s="2" t="s">
        <v>334</v>
      </c>
      <c r="D76" s="6" t="s">
        <v>335</v>
      </c>
      <c r="E76" s="2" t="s">
        <v>336</v>
      </c>
      <c r="F76" s="6" t="s">
        <v>876</v>
      </c>
      <c r="G76" s="6" t="s">
        <v>877</v>
      </c>
      <c r="H76" s="2" t="s">
        <v>339</v>
      </c>
      <c r="I76" s="2" t="s">
        <v>27</v>
      </c>
      <c r="J76" s="2" t="s">
        <v>39</v>
      </c>
      <c r="K76" s="2" t="s">
        <v>29</v>
      </c>
      <c r="L76" s="2" t="s">
        <v>143</v>
      </c>
      <c r="M76" s="6" t="s">
        <v>872</v>
      </c>
      <c r="N76" s="6" t="s">
        <v>873</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x14ac:dyDescent="0.25">
      <c r="B77" s="65">
        <v>67</v>
      </c>
      <c r="C77" s="2" t="s">
        <v>334</v>
      </c>
      <c r="D77" s="6" t="s">
        <v>335</v>
      </c>
      <c r="E77" s="2" t="s">
        <v>344</v>
      </c>
      <c r="F77" s="6" t="s">
        <v>878</v>
      </c>
      <c r="G77" s="6" t="s">
        <v>879</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751</v>
      </c>
      <c r="AV77" s="60"/>
    </row>
    <row r="78" spans="2:48" ht="90.75" customHeight="1" x14ac:dyDescent="0.25">
      <c r="B78" s="65">
        <v>68</v>
      </c>
      <c r="C78" s="2" t="s">
        <v>334</v>
      </c>
      <c r="D78" s="6" t="s">
        <v>335</v>
      </c>
      <c r="E78" s="2" t="s">
        <v>344</v>
      </c>
      <c r="F78" s="6" t="s">
        <v>880</v>
      </c>
      <c r="G78" s="6" t="s">
        <v>881</v>
      </c>
      <c r="H78" s="2" t="s">
        <v>339</v>
      </c>
      <c r="I78" s="2" t="s">
        <v>46</v>
      </c>
      <c r="J78" s="2" t="s">
        <v>68</v>
      </c>
      <c r="K78" s="2" t="s">
        <v>29</v>
      </c>
      <c r="L78" s="2" t="s">
        <v>882</v>
      </c>
      <c r="M78" s="6" t="s">
        <v>883</v>
      </c>
      <c r="N78" s="6" t="s">
        <v>884</v>
      </c>
      <c r="O78" s="2"/>
      <c r="P78" s="2"/>
      <c r="Q78" s="5" t="s">
        <v>159</v>
      </c>
      <c r="R78" s="5" t="s">
        <v>801</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885</v>
      </c>
    </row>
    <row r="79" spans="2:48" ht="77.25" hidden="1" customHeight="1" x14ac:dyDescent="0.25">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x14ac:dyDescent="0.25">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x14ac:dyDescent="0.25">
      <c r="B81" s="65">
        <v>71</v>
      </c>
      <c r="C81" s="2" t="s">
        <v>334</v>
      </c>
      <c r="D81" s="6" t="s">
        <v>335</v>
      </c>
      <c r="E81" s="2" t="s">
        <v>344</v>
      </c>
      <c r="F81" s="6" t="s">
        <v>886</v>
      </c>
      <c r="G81" s="6" t="s">
        <v>887</v>
      </c>
      <c r="H81" s="2" t="s">
        <v>339</v>
      </c>
      <c r="I81" s="2" t="s">
        <v>46</v>
      </c>
      <c r="J81" s="2" t="s">
        <v>68</v>
      </c>
      <c r="K81" s="2" t="s">
        <v>29</v>
      </c>
      <c r="L81" s="2" t="s">
        <v>143</v>
      </c>
      <c r="M81" s="6" t="s">
        <v>888</v>
      </c>
      <c r="N81" s="6" t="s">
        <v>889</v>
      </c>
      <c r="O81" s="2"/>
      <c r="P81" s="2"/>
      <c r="Q81" s="5" t="s">
        <v>159</v>
      </c>
      <c r="R81" s="5" t="s">
        <v>801</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890</v>
      </c>
    </row>
    <row r="82" spans="2:48" ht="77.25" customHeight="1" x14ac:dyDescent="0.25">
      <c r="B82" s="65">
        <v>72</v>
      </c>
      <c r="C82" s="2" t="s">
        <v>334</v>
      </c>
      <c r="D82" s="6" t="s">
        <v>335</v>
      </c>
      <c r="E82" s="2" t="s">
        <v>344</v>
      </c>
      <c r="F82" s="6" t="s">
        <v>891</v>
      </c>
      <c r="G82" s="6" t="s">
        <v>892</v>
      </c>
      <c r="H82" s="2" t="s">
        <v>339</v>
      </c>
      <c r="I82" s="2" t="s">
        <v>53</v>
      </c>
      <c r="J82" s="2" t="s">
        <v>133</v>
      </c>
      <c r="K82" s="2" t="s">
        <v>846</v>
      </c>
      <c r="L82" s="2" t="s">
        <v>69</v>
      </c>
      <c r="M82" s="6" t="s">
        <v>893</v>
      </c>
      <c r="N82" s="6" t="s">
        <v>894</v>
      </c>
      <c r="O82" s="2"/>
      <c r="P82" s="2"/>
      <c r="Q82" s="5" t="s">
        <v>268</v>
      </c>
      <c r="R82" s="5" t="s">
        <v>801</v>
      </c>
      <c r="S82" s="5" t="s">
        <v>895</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x14ac:dyDescent="0.25">
      <c r="B83" s="65">
        <v>73</v>
      </c>
      <c r="C83" s="2" t="s">
        <v>334</v>
      </c>
      <c r="D83" s="6" t="s">
        <v>335</v>
      </c>
      <c r="E83" s="2" t="s">
        <v>344</v>
      </c>
      <c r="F83" s="6" t="s">
        <v>896</v>
      </c>
      <c r="G83" s="6" t="s">
        <v>897</v>
      </c>
      <c r="H83" s="2" t="s">
        <v>339</v>
      </c>
      <c r="I83" s="2" t="s">
        <v>27</v>
      </c>
      <c r="J83" s="76" t="s">
        <v>68</v>
      </c>
      <c r="K83" s="2" t="s">
        <v>29</v>
      </c>
      <c r="L83" s="2" t="s">
        <v>143</v>
      </c>
      <c r="M83" s="6" t="s">
        <v>347</v>
      </c>
      <c r="N83" s="6" t="s">
        <v>348</v>
      </c>
      <c r="O83" s="2"/>
      <c r="P83" s="2"/>
      <c r="Q83" s="5" t="s">
        <v>214</v>
      </c>
      <c r="R83" s="5" t="s">
        <v>801</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x14ac:dyDescent="0.25">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x14ac:dyDescent="0.25">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801</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x14ac:dyDescent="0.25">
      <c r="B86" s="65">
        <v>76</v>
      </c>
      <c r="C86" s="2" t="s">
        <v>402</v>
      </c>
      <c r="D86" s="6" t="s">
        <v>403</v>
      </c>
      <c r="E86" s="2" t="s">
        <v>898</v>
      </c>
      <c r="F86" s="6" t="s">
        <v>405</v>
      </c>
      <c r="G86" s="6" t="s">
        <v>899</v>
      </c>
      <c r="H86" s="2" t="s">
        <v>407</v>
      </c>
      <c r="I86" s="2" t="s">
        <v>53</v>
      </c>
      <c r="J86" s="2" t="s">
        <v>39</v>
      </c>
      <c r="K86" s="2" t="s">
        <v>29</v>
      </c>
      <c r="L86" s="2" t="s">
        <v>30</v>
      </c>
      <c r="M86" s="6" t="s">
        <v>408</v>
      </c>
      <c r="N86" s="6" t="s">
        <v>409</v>
      </c>
      <c r="O86" s="2"/>
      <c r="P86" s="2"/>
      <c r="Q86" s="5" t="s">
        <v>214</v>
      </c>
      <c r="R86" s="5" t="s">
        <v>801</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x14ac:dyDescent="0.25">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801</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x14ac:dyDescent="0.3">
      <c r="B88" s="65">
        <v>78</v>
      </c>
      <c r="C88" s="61" t="s">
        <v>487</v>
      </c>
      <c r="D88" s="62" t="s">
        <v>488</v>
      </c>
      <c r="E88" s="61" t="s">
        <v>496</v>
      </c>
      <c r="F88" s="62" t="s">
        <v>497</v>
      </c>
      <c r="G88" s="62" t="s">
        <v>498</v>
      </c>
      <c r="H88" s="61" t="s">
        <v>499</v>
      </c>
      <c r="I88" s="61" t="s">
        <v>27</v>
      </c>
      <c r="J88" s="61" t="s">
        <v>39</v>
      </c>
      <c r="K88" s="61" t="s">
        <v>29</v>
      </c>
      <c r="L88" s="61" t="s">
        <v>69</v>
      </c>
      <c r="M88" s="62" t="s">
        <v>900</v>
      </c>
      <c r="N88" s="62" t="s">
        <v>901</v>
      </c>
      <c r="O88" s="61"/>
      <c r="P88" s="61"/>
      <c r="Q88" s="64" t="s">
        <v>214</v>
      </c>
      <c r="R88" s="64" t="s">
        <v>801</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x14ac:dyDescent="0.3">
      <c r="B89" s="65">
        <v>79</v>
      </c>
      <c r="C89" s="61" t="s">
        <v>487</v>
      </c>
      <c r="D89" s="6" t="s">
        <v>488</v>
      </c>
      <c r="E89" s="2" t="s">
        <v>489</v>
      </c>
      <c r="F89" s="6" t="s">
        <v>490</v>
      </c>
      <c r="G89" s="6" t="s">
        <v>491</v>
      </c>
      <c r="H89" s="2" t="s">
        <v>492</v>
      </c>
      <c r="I89" s="2" t="s">
        <v>53</v>
      </c>
      <c r="J89" s="61" t="s">
        <v>39</v>
      </c>
      <c r="K89" s="2" t="s">
        <v>29</v>
      </c>
      <c r="L89" s="2" t="s">
        <v>69</v>
      </c>
      <c r="M89" s="6" t="s">
        <v>902</v>
      </c>
      <c r="N89" s="6" t="s">
        <v>494</v>
      </c>
      <c r="O89" s="2"/>
      <c r="P89" s="2"/>
      <c r="Q89" s="5" t="s">
        <v>214</v>
      </c>
      <c r="R89" s="5" t="s">
        <v>801</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x14ac:dyDescent="0.25">
      <c r="B90" s="65">
        <v>9</v>
      </c>
      <c r="C90" s="5" t="s">
        <v>62</v>
      </c>
      <c r="D90" s="5" t="s">
        <v>80</v>
      </c>
      <c r="E90" s="5" t="s">
        <v>903</v>
      </c>
      <c r="F90" s="5" t="s">
        <v>904</v>
      </c>
      <c r="G90" s="5" t="s">
        <v>905</v>
      </c>
      <c r="H90" s="5" t="s">
        <v>67</v>
      </c>
      <c r="I90" s="5" t="s">
        <v>27</v>
      </c>
      <c r="J90" s="5" t="s">
        <v>68</v>
      </c>
      <c r="K90" s="5" t="s">
        <v>29</v>
      </c>
      <c r="L90" s="5" t="s">
        <v>30</v>
      </c>
      <c r="M90" s="5" t="s">
        <v>906</v>
      </c>
      <c r="N90" s="5" t="s">
        <v>907</v>
      </c>
      <c r="O90" s="5"/>
      <c r="P90" s="5"/>
      <c r="Q90" s="5" t="s">
        <v>33</v>
      </c>
      <c r="R90" s="5" t="s">
        <v>801</v>
      </c>
      <c r="S90" s="74">
        <v>1</v>
      </c>
      <c r="T90" s="5">
        <v>2</v>
      </c>
      <c r="U90" s="5">
        <v>392</v>
      </c>
      <c r="V90" s="5">
        <v>1</v>
      </c>
      <c r="W90" s="5">
        <v>392</v>
      </c>
      <c r="X90" s="5">
        <v>0</v>
      </c>
      <c r="Y90" s="5">
        <v>392</v>
      </c>
      <c r="Z90" s="83">
        <v>3</v>
      </c>
      <c r="AA90" s="83">
        <v>1176</v>
      </c>
      <c r="AB90" s="82">
        <v>7.7000000000000002E-3</v>
      </c>
      <c r="AC90" s="120" t="s">
        <v>35</v>
      </c>
      <c r="AD90" s="115"/>
      <c r="AR90" s="95"/>
      <c r="AS90" s="95"/>
      <c r="AT90" s="126"/>
      <c r="AU90" s="127"/>
    </row>
    <row r="91" spans="2:48" ht="153" x14ac:dyDescent="0.25">
      <c r="B91" s="65">
        <v>10</v>
      </c>
      <c r="C91" s="2" t="s">
        <v>62</v>
      </c>
      <c r="D91" s="6" t="s">
        <v>80</v>
      </c>
      <c r="E91" s="2" t="s">
        <v>908</v>
      </c>
      <c r="F91" s="6" t="s">
        <v>909</v>
      </c>
      <c r="G91" s="6" t="s">
        <v>909</v>
      </c>
      <c r="H91" s="1" t="s">
        <v>67</v>
      </c>
      <c r="I91" s="2" t="s">
        <v>46</v>
      </c>
      <c r="J91" s="2" t="s">
        <v>133</v>
      </c>
      <c r="K91" s="2" t="s">
        <v>29</v>
      </c>
      <c r="L91" s="2" t="s">
        <v>30</v>
      </c>
      <c r="M91" s="6" t="s">
        <v>910</v>
      </c>
      <c r="N91" s="6" t="s">
        <v>911</v>
      </c>
      <c r="O91" s="2"/>
      <c r="P91" s="2"/>
      <c r="Q91" s="5" t="s">
        <v>33</v>
      </c>
      <c r="R91" s="5" t="s">
        <v>801</v>
      </c>
      <c r="S91" s="74" t="s">
        <v>912</v>
      </c>
      <c r="T91" s="2">
        <v>0</v>
      </c>
      <c r="U91" s="2">
        <v>30</v>
      </c>
      <c r="V91" s="2">
        <v>0</v>
      </c>
      <c r="W91" s="2">
        <v>40</v>
      </c>
      <c r="X91" s="2">
        <v>23</v>
      </c>
      <c r="Y91" s="2">
        <v>40</v>
      </c>
      <c r="Z91" s="83">
        <v>23</v>
      </c>
      <c r="AA91" s="83">
        <v>110</v>
      </c>
      <c r="AB91" s="124">
        <v>0.20909090909090908</v>
      </c>
      <c r="AC91" s="123" t="s">
        <v>91</v>
      </c>
      <c r="AD91" s="60"/>
      <c r="AR91" s="95"/>
      <c r="AS91" s="95"/>
      <c r="AT91" s="126"/>
      <c r="AU91" s="127"/>
    </row>
    <row r="92" spans="2:48" ht="76.5" x14ac:dyDescent="0.25">
      <c r="B92" s="65">
        <v>31</v>
      </c>
      <c r="C92" s="2" t="s">
        <v>253</v>
      </c>
      <c r="D92" s="6" t="s">
        <v>254</v>
      </c>
      <c r="E92" s="2" t="s">
        <v>255</v>
      </c>
      <c r="F92" s="6" t="s">
        <v>804</v>
      </c>
      <c r="G92" s="6" t="s">
        <v>805</v>
      </c>
      <c r="H92" s="2" t="s">
        <v>258</v>
      </c>
      <c r="I92" s="2" t="s">
        <v>27</v>
      </c>
      <c r="J92" s="2" t="s">
        <v>68</v>
      </c>
      <c r="K92" s="2" t="s">
        <v>29</v>
      </c>
      <c r="L92" s="2" t="s">
        <v>69</v>
      </c>
      <c r="M92" s="6" t="s">
        <v>806</v>
      </c>
      <c r="N92" s="6" t="s">
        <v>807</v>
      </c>
      <c r="O92" s="2"/>
      <c r="P92" s="2"/>
      <c r="Q92" s="5" t="s">
        <v>159</v>
      </c>
      <c r="R92" s="5" t="s">
        <v>801</v>
      </c>
      <c r="S92" s="74"/>
      <c r="T92" s="2"/>
      <c r="U92" s="2"/>
      <c r="V92" s="2"/>
      <c r="W92" s="2"/>
      <c r="X92" s="2"/>
      <c r="Y92" s="2"/>
      <c r="Z92" s="2"/>
      <c r="AA92" s="2"/>
      <c r="AB92" s="2"/>
      <c r="AC92" s="2"/>
      <c r="AD92" s="22"/>
      <c r="AE92" s="22"/>
      <c r="AF92" s="81"/>
      <c r="AG92" s="103"/>
      <c r="AH92" s="60"/>
      <c r="AT92" s="3"/>
    </row>
    <row r="93" spans="2:48" ht="89.25" x14ac:dyDescent="0.25">
      <c r="B93" s="65">
        <f>B92+1</f>
        <v>32</v>
      </c>
      <c r="C93" s="1" t="s">
        <v>206</v>
      </c>
      <c r="D93" s="1" t="s">
        <v>207</v>
      </c>
      <c r="E93" s="1" t="s">
        <v>216</v>
      </c>
      <c r="F93" s="1" t="s">
        <v>913</v>
      </c>
      <c r="G93" s="135" t="s">
        <v>914</v>
      </c>
      <c r="H93" s="1" t="s">
        <v>211</v>
      </c>
      <c r="I93" s="1" t="s">
        <v>27</v>
      </c>
      <c r="J93" s="1" t="s">
        <v>68</v>
      </c>
      <c r="K93" s="1" t="s">
        <v>29</v>
      </c>
      <c r="L93" s="1" t="s">
        <v>69</v>
      </c>
      <c r="M93" s="1" t="s">
        <v>812</v>
      </c>
      <c r="N93" s="1" t="s">
        <v>915</v>
      </c>
      <c r="O93" s="1"/>
      <c r="P93" s="1"/>
      <c r="Q93" s="5" t="s">
        <v>214</v>
      </c>
      <c r="R93" s="5" t="s">
        <v>801</v>
      </c>
      <c r="S93" s="145"/>
      <c r="AD93" s="95"/>
      <c r="AE93" s="95"/>
      <c r="AF93" s="146"/>
      <c r="AG93" s="147"/>
      <c r="AT93" s="3"/>
    </row>
    <row r="94" spans="2:48" ht="127.5" x14ac:dyDescent="0.25">
      <c r="B94" s="65">
        <f>B93+1</f>
        <v>33</v>
      </c>
      <c r="C94" s="1" t="s">
        <v>206</v>
      </c>
      <c r="D94" s="1" t="s">
        <v>207</v>
      </c>
      <c r="E94" s="1" t="s">
        <v>207</v>
      </c>
      <c r="F94" s="1" t="s">
        <v>813</v>
      </c>
      <c r="G94" s="135" t="s">
        <v>814</v>
      </c>
      <c r="H94" s="1" t="s">
        <v>211</v>
      </c>
      <c r="I94" s="1" t="s">
        <v>27</v>
      </c>
      <c r="J94" s="1" t="s">
        <v>39</v>
      </c>
      <c r="K94" s="1" t="s">
        <v>29</v>
      </c>
      <c r="L94" s="1" t="s">
        <v>240</v>
      </c>
      <c r="M94" s="1" t="s">
        <v>815</v>
      </c>
      <c r="N94" s="1" t="s">
        <v>816</v>
      </c>
      <c r="O94" s="1"/>
      <c r="P94" s="1"/>
      <c r="Q94" s="5" t="s">
        <v>214</v>
      </c>
      <c r="R94" s="5" t="s">
        <v>801</v>
      </c>
      <c r="S94" s="145"/>
      <c r="AD94" s="95"/>
      <c r="AE94" s="95"/>
      <c r="AF94" s="146"/>
      <c r="AG94" s="147"/>
      <c r="AT94" s="3"/>
    </row>
    <row r="95" spans="2:48" ht="89.25" x14ac:dyDescent="0.25">
      <c r="B95" s="65">
        <f>B94+1</f>
        <v>34</v>
      </c>
      <c r="C95" s="1" t="s">
        <v>206</v>
      </c>
      <c r="D95" s="1" t="s">
        <v>207</v>
      </c>
      <c r="E95" s="1" t="s">
        <v>216</v>
      </c>
      <c r="F95" s="1" t="s">
        <v>821</v>
      </c>
      <c r="G95" s="135" t="s">
        <v>822</v>
      </c>
      <c r="H95" s="1" t="s">
        <v>211</v>
      </c>
      <c r="I95" s="1" t="s">
        <v>27</v>
      </c>
      <c r="J95" s="1" t="s">
        <v>68</v>
      </c>
      <c r="K95" s="1" t="s">
        <v>29</v>
      </c>
      <c r="L95" s="1" t="s">
        <v>240</v>
      </c>
      <c r="M95" s="1" t="s">
        <v>246</v>
      </c>
      <c r="N95" s="1" t="s">
        <v>247</v>
      </c>
      <c r="O95" s="1"/>
      <c r="P95" s="1"/>
      <c r="Q95" s="5" t="s">
        <v>214</v>
      </c>
      <c r="R95" s="5" t="s">
        <v>801</v>
      </c>
      <c r="S95" s="145"/>
      <c r="AD95" s="95"/>
      <c r="AE95" s="95"/>
      <c r="AF95" s="146"/>
      <c r="AG95" s="147"/>
      <c r="AT95" s="3"/>
    </row>
    <row r="96" spans="2:48" ht="89.25" x14ac:dyDescent="0.25">
      <c r="B96" s="65">
        <f>B95+1</f>
        <v>35</v>
      </c>
      <c r="C96" s="1" t="s">
        <v>206</v>
      </c>
      <c r="D96" s="1" t="s">
        <v>207</v>
      </c>
      <c r="E96" s="1" t="s">
        <v>216</v>
      </c>
      <c r="F96" s="1" t="s">
        <v>823</v>
      </c>
      <c r="G96" s="135" t="s">
        <v>824</v>
      </c>
      <c r="H96" s="1" t="s">
        <v>211</v>
      </c>
      <c r="I96" s="1" t="s">
        <v>27</v>
      </c>
      <c r="J96" s="1" t="s">
        <v>68</v>
      </c>
      <c r="K96" s="1" t="s">
        <v>29</v>
      </c>
      <c r="L96" s="1" t="s">
        <v>240</v>
      </c>
      <c r="M96" s="1" t="s">
        <v>825</v>
      </c>
      <c r="N96" s="1" t="s">
        <v>826</v>
      </c>
      <c r="O96" s="1"/>
      <c r="P96" s="1"/>
      <c r="Q96" s="5" t="s">
        <v>214</v>
      </c>
      <c r="R96" s="5" t="s">
        <v>801</v>
      </c>
      <c r="S96" s="145"/>
      <c r="AD96" s="95"/>
      <c r="AE96" s="95"/>
      <c r="AF96" s="146"/>
      <c r="AG96" s="147"/>
      <c r="AT96" s="3"/>
    </row>
    <row r="97" spans="2:49" ht="24.75" hidden="1" customHeight="1" x14ac:dyDescent="0.25"/>
    <row r="98" spans="2:49" ht="24.75" customHeight="1" x14ac:dyDescent="0.25">
      <c r="B98" s="65">
        <f>B97+1</f>
        <v>1</v>
      </c>
      <c r="C98" s="1" t="s">
        <v>62</v>
      </c>
      <c r="D98" s="1" t="s">
        <v>80</v>
      </c>
      <c r="E98" s="1" t="s">
        <v>64</v>
      </c>
      <c r="F98" s="1" t="s">
        <v>87</v>
      </c>
      <c r="G98" s="1" t="s">
        <v>88</v>
      </c>
      <c r="H98" s="1" t="s">
        <v>67</v>
      </c>
      <c r="I98" s="1" t="s">
        <v>27</v>
      </c>
      <c r="J98" s="1" t="s">
        <v>68</v>
      </c>
      <c r="K98" s="1" t="s">
        <v>29</v>
      </c>
      <c r="L98" s="1" t="s">
        <v>69</v>
      </c>
      <c r="M98" s="1" t="s">
        <v>89</v>
      </c>
      <c r="N98" s="1" t="s">
        <v>90</v>
      </c>
      <c r="O98" s="1"/>
      <c r="P98" s="1"/>
      <c r="Q98" s="5" t="s">
        <v>33</v>
      </c>
      <c r="R98" s="5" t="s">
        <v>801</v>
      </c>
      <c r="S98" s="74">
        <v>1</v>
      </c>
      <c r="T98" s="1"/>
      <c r="U98" s="1"/>
      <c r="V98" s="1"/>
      <c r="W98" s="1"/>
      <c r="X98" s="1"/>
      <c r="Y98" s="1"/>
      <c r="Z98" s="2"/>
      <c r="AA98" s="2"/>
      <c r="AB98" s="2"/>
      <c r="AC98" s="2"/>
      <c r="AD98" s="5"/>
      <c r="AE98" s="5"/>
      <c r="AF98" s="2"/>
      <c r="AG98" s="2"/>
      <c r="AH98" s="2"/>
      <c r="AI98" s="2"/>
      <c r="AJ98" s="2"/>
      <c r="AK98" s="2"/>
      <c r="AL98" s="2"/>
      <c r="AM98" s="2"/>
      <c r="AN98" s="2"/>
      <c r="AO98" s="2"/>
      <c r="AP98" s="5"/>
      <c r="AQ98" s="5"/>
      <c r="AR98" s="83"/>
      <c r="AS98" s="83"/>
      <c r="AT98" s="83"/>
      <c r="AU98" s="162"/>
      <c r="AV98" s="176" t="s">
        <v>916</v>
      </c>
      <c r="AW98" s="163"/>
    </row>
    <row r="99" spans="2:49" ht="24.75" customHeight="1" x14ac:dyDescent="0.25">
      <c r="B99" s="65">
        <v>25</v>
      </c>
      <c r="C99" s="1" t="s">
        <v>183</v>
      </c>
      <c r="D99" s="1" t="s">
        <v>184</v>
      </c>
      <c r="E99" s="1" t="s">
        <v>200</v>
      </c>
      <c r="F99" s="1" t="s">
        <v>201</v>
      </c>
      <c r="G99" s="1" t="s">
        <v>202</v>
      </c>
      <c r="H99" s="1" t="s">
        <v>188</v>
      </c>
      <c r="I99" s="1" t="s">
        <v>27</v>
      </c>
      <c r="J99" s="1" t="s">
        <v>39</v>
      </c>
      <c r="K99" s="1" t="s">
        <v>29</v>
      </c>
      <c r="L99" s="1" t="s">
        <v>69</v>
      </c>
      <c r="M99" s="1" t="s">
        <v>203</v>
      </c>
      <c r="N99" s="1" t="s">
        <v>204</v>
      </c>
      <c r="O99" s="1"/>
      <c r="P99" s="1"/>
      <c r="Q99" s="5" t="s">
        <v>33</v>
      </c>
      <c r="R99" s="5" t="s">
        <v>801</v>
      </c>
      <c r="S99" s="145"/>
      <c r="T99" s="105"/>
      <c r="U99" s="105"/>
      <c r="V99" s="105"/>
      <c r="W99" s="105"/>
      <c r="X99" s="105"/>
      <c r="Y99" s="105"/>
      <c r="AD99" s="4"/>
      <c r="AE99" s="4"/>
      <c r="AP99" s="4"/>
      <c r="AQ99" s="4"/>
      <c r="AR99" s="118"/>
      <c r="AS99" s="118"/>
      <c r="AT99" s="118"/>
      <c r="AU99" s="178"/>
      <c r="AV99" s="176" t="s">
        <v>917</v>
      </c>
      <c r="AW99" s="179"/>
    </row>
    <row r="100" spans="2:49" ht="13.5" thickBot="1" x14ac:dyDescent="0.3"/>
    <row r="101" spans="2:49" ht="60" customHeight="1" thickBot="1" x14ac:dyDescent="0.3">
      <c r="B101" s="290" t="s">
        <v>530</v>
      </c>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2"/>
    </row>
    <row r="103" spans="2:49" x14ac:dyDescent="0.25">
      <c r="D103" s="7">
        <v>2</v>
      </c>
    </row>
    <row r="104" spans="2:49" x14ac:dyDescent="0.25">
      <c r="D104" s="7">
        <v>7</v>
      </c>
    </row>
    <row r="105" spans="2:49" x14ac:dyDescent="0.25">
      <c r="D105" s="7">
        <v>3</v>
      </c>
    </row>
  </sheetData>
  <autoFilter ref="B9:AW97" xr:uid="{00000000-0009-0000-0000-000006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88" customFormat="1" ht="18.75" customHeight="1" thickBot="1" x14ac:dyDescent="0.3">
      <c r="B2" s="214"/>
      <c r="C2" s="241" t="s">
        <v>0</v>
      </c>
      <c r="D2" s="242"/>
      <c r="E2" s="275"/>
      <c r="F2" s="280" t="s">
        <v>1</v>
      </c>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81"/>
      <c r="AJ2" s="265" t="s">
        <v>538</v>
      </c>
      <c r="AK2" s="229"/>
      <c r="AL2" s="229"/>
      <c r="AM2" s="229"/>
      <c r="AN2" s="229"/>
      <c r="AO2" s="229"/>
      <c r="AP2" s="229"/>
      <c r="AQ2" s="230"/>
      <c r="AR2" s="265" t="s">
        <v>539</v>
      </c>
      <c r="AS2" s="229"/>
      <c r="AT2" s="229"/>
      <c r="AU2" s="229"/>
      <c r="AV2" s="230"/>
    </row>
    <row r="3" spans="2:49" s="88" customFormat="1" ht="18.75" customHeight="1" thickBot="1" x14ac:dyDescent="0.3">
      <c r="B3" s="215"/>
      <c r="C3" s="276"/>
      <c r="D3" s="277"/>
      <c r="E3" s="278"/>
      <c r="F3" s="282"/>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83"/>
      <c r="AJ3" s="265" t="s">
        <v>540</v>
      </c>
      <c r="AK3" s="229"/>
      <c r="AL3" s="229"/>
      <c r="AM3" s="229"/>
      <c r="AN3" s="229"/>
      <c r="AO3" s="229"/>
      <c r="AP3" s="229"/>
      <c r="AQ3" s="230"/>
      <c r="AR3" s="265">
        <v>1</v>
      </c>
      <c r="AS3" s="229"/>
      <c r="AT3" s="229"/>
      <c r="AU3" s="229"/>
      <c r="AV3" s="230"/>
    </row>
    <row r="4" spans="2:49" s="88" customFormat="1" ht="18.75" customHeight="1" thickBot="1" x14ac:dyDescent="0.3">
      <c r="B4" s="215"/>
      <c r="C4" s="246"/>
      <c r="D4" s="247"/>
      <c r="E4" s="279"/>
      <c r="F4" s="284"/>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85"/>
      <c r="AJ4" s="265" t="s">
        <v>541</v>
      </c>
      <c r="AK4" s="229"/>
      <c r="AL4" s="229"/>
      <c r="AM4" s="229"/>
      <c r="AN4" s="229"/>
      <c r="AO4" s="229"/>
      <c r="AP4" s="229"/>
      <c r="AQ4" s="230"/>
      <c r="AR4" s="269">
        <v>43896</v>
      </c>
      <c r="AS4" s="231"/>
      <c r="AT4" s="231"/>
      <c r="AU4" s="231"/>
      <c r="AV4" s="232"/>
    </row>
    <row r="5" spans="2:49" s="88" customFormat="1" ht="15" customHeight="1" x14ac:dyDescent="0.25">
      <c r="B5" s="215"/>
      <c r="C5" s="241" t="s">
        <v>2</v>
      </c>
      <c r="D5" s="242"/>
      <c r="E5" s="275"/>
      <c r="F5" s="280" t="s">
        <v>3</v>
      </c>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81"/>
      <c r="AJ5" s="241" t="s">
        <v>542</v>
      </c>
      <c r="AK5" s="242"/>
      <c r="AL5" s="242"/>
      <c r="AM5" s="242"/>
      <c r="AN5" s="242"/>
      <c r="AO5" s="242"/>
      <c r="AP5" s="242"/>
      <c r="AQ5" s="275"/>
      <c r="AR5" s="251" t="s">
        <v>543</v>
      </c>
      <c r="AS5" s="210"/>
      <c r="AT5" s="210"/>
      <c r="AU5" s="210"/>
      <c r="AV5" s="211"/>
    </row>
    <row r="6" spans="2:49" s="88" customFormat="1" ht="15.75" customHeight="1" thickBot="1" x14ac:dyDescent="0.3">
      <c r="B6" s="216"/>
      <c r="C6" s="246"/>
      <c r="D6" s="247"/>
      <c r="E6" s="279"/>
      <c r="F6" s="284"/>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85"/>
      <c r="AJ6" s="246"/>
      <c r="AK6" s="247"/>
      <c r="AL6" s="247"/>
      <c r="AM6" s="247"/>
      <c r="AN6" s="247"/>
      <c r="AO6" s="247"/>
      <c r="AP6" s="247"/>
      <c r="AQ6" s="279"/>
      <c r="AR6" s="253"/>
      <c r="AS6" s="212"/>
      <c r="AT6" s="212"/>
      <c r="AU6" s="212"/>
      <c r="AV6" s="213"/>
    </row>
    <row r="7" spans="2:49" ht="15" customHeight="1" x14ac:dyDescent="0.25">
      <c r="B7" s="154" t="s">
        <v>4</v>
      </c>
      <c r="C7" s="151" t="s">
        <v>5</v>
      </c>
      <c r="D7" s="151" t="s">
        <v>6</v>
      </c>
      <c r="E7" s="151" t="s">
        <v>7</v>
      </c>
      <c r="F7" s="151" t="s">
        <v>8</v>
      </c>
      <c r="G7" s="150" t="s">
        <v>9</v>
      </c>
      <c r="H7" s="151" t="s">
        <v>10</v>
      </c>
      <c r="I7" s="153" t="s">
        <v>11</v>
      </c>
      <c r="J7" s="151" t="s">
        <v>12</v>
      </c>
      <c r="K7" s="151" t="s">
        <v>13</v>
      </c>
      <c r="L7" s="151" t="s">
        <v>14</v>
      </c>
      <c r="M7" s="100" t="s">
        <v>15</v>
      </c>
      <c r="N7" s="100" t="s">
        <v>15</v>
      </c>
      <c r="O7" s="100" t="s">
        <v>15</v>
      </c>
      <c r="P7" s="100" t="s">
        <v>15</v>
      </c>
      <c r="Q7" s="151" t="s">
        <v>16</v>
      </c>
      <c r="R7" s="151" t="s">
        <v>17</v>
      </c>
      <c r="S7" s="151" t="s">
        <v>18</v>
      </c>
      <c r="T7" s="100" t="s">
        <v>546</v>
      </c>
      <c r="U7" s="100" t="s">
        <v>547</v>
      </c>
      <c r="V7" s="100" t="s">
        <v>548</v>
      </c>
      <c r="W7" s="100" t="s">
        <v>549</v>
      </c>
      <c r="X7" s="100" t="s">
        <v>550</v>
      </c>
      <c r="Y7" s="100" t="s">
        <v>551</v>
      </c>
      <c r="Z7" s="100" t="s">
        <v>552</v>
      </c>
      <c r="AA7" s="100" t="s">
        <v>553</v>
      </c>
      <c r="AB7" s="100" t="s">
        <v>554</v>
      </c>
      <c r="AC7" s="100" t="s">
        <v>555</v>
      </c>
      <c r="AD7" s="100" t="s">
        <v>556</v>
      </c>
      <c r="AE7" s="100" t="s">
        <v>557</v>
      </c>
      <c r="AF7" s="100" t="s">
        <v>546</v>
      </c>
      <c r="AG7" s="100" t="s">
        <v>547</v>
      </c>
      <c r="AH7" s="100" t="s">
        <v>548</v>
      </c>
      <c r="AI7" s="100" t="s">
        <v>549</v>
      </c>
      <c r="AJ7" s="100" t="s">
        <v>550</v>
      </c>
      <c r="AK7" s="100" t="s">
        <v>551</v>
      </c>
      <c r="AL7" s="100" t="s">
        <v>552</v>
      </c>
      <c r="AM7" s="100" t="s">
        <v>553</v>
      </c>
      <c r="AN7" s="100" t="s">
        <v>554</v>
      </c>
      <c r="AO7" s="100" t="s">
        <v>555</v>
      </c>
      <c r="AP7" s="100" t="s">
        <v>556</v>
      </c>
      <c r="AQ7" s="100" t="s">
        <v>557</v>
      </c>
      <c r="AR7" s="100" t="s">
        <v>546</v>
      </c>
      <c r="AS7" s="100" t="s">
        <v>547</v>
      </c>
      <c r="AT7" s="151" t="s">
        <v>562</v>
      </c>
      <c r="AU7" s="151" t="s">
        <v>19</v>
      </c>
      <c r="AV7" s="156" t="s">
        <v>20</v>
      </c>
    </row>
    <row r="8" spans="2:49" ht="76.5" customHeight="1" x14ac:dyDescent="0.25">
      <c r="B8" s="65">
        <v>1</v>
      </c>
      <c r="C8" s="2" t="s">
        <v>62</v>
      </c>
      <c r="D8" s="6" t="s">
        <v>63</v>
      </c>
      <c r="E8" s="2" t="s">
        <v>64</v>
      </c>
      <c r="F8" s="6" t="s">
        <v>771</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35</v>
      </c>
      <c r="AV8" s="60" t="s">
        <v>918</v>
      </c>
    </row>
    <row r="9" spans="2:49" ht="76.5" customHeight="1" x14ac:dyDescent="0.25">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72</v>
      </c>
      <c r="AV9" s="60" t="s">
        <v>918</v>
      </c>
    </row>
    <row r="10" spans="2:49" ht="76.5" customHeight="1" x14ac:dyDescent="0.25">
      <c r="B10" s="65">
        <v>3</v>
      </c>
      <c r="C10" s="2" t="s">
        <v>62</v>
      </c>
      <c r="D10" s="6" t="s">
        <v>80</v>
      </c>
      <c r="E10" s="5" t="s">
        <v>772</v>
      </c>
      <c r="F10" s="5" t="s">
        <v>773</v>
      </c>
      <c r="G10" s="91" t="s">
        <v>774</v>
      </c>
      <c r="H10" s="5" t="s">
        <v>67</v>
      </c>
      <c r="I10" s="2" t="s">
        <v>27</v>
      </c>
      <c r="J10" s="2" t="s">
        <v>39</v>
      </c>
      <c r="K10" s="2" t="s">
        <v>29</v>
      </c>
      <c r="L10" s="2" t="s">
        <v>69</v>
      </c>
      <c r="M10" s="6" t="s">
        <v>775</v>
      </c>
      <c r="N10" s="6" t="s">
        <v>776</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35</v>
      </c>
      <c r="AV10" s="60" t="s">
        <v>919</v>
      </c>
    </row>
    <row r="11" spans="2:49" ht="76.5" customHeight="1" x14ac:dyDescent="0.25">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35</v>
      </c>
      <c r="AV11" s="60" t="s">
        <v>918</v>
      </c>
    </row>
    <row r="12" spans="2:49" ht="104.25" customHeight="1" x14ac:dyDescent="0.25">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35</v>
      </c>
      <c r="AV12" s="60" t="s">
        <v>918</v>
      </c>
      <c r="AW12" s="95">
        <f>AR12-AS12</f>
        <v>14</v>
      </c>
    </row>
    <row r="13" spans="2:49" ht="76.5" customHeight="1" x14ac:dyDescent="0.25">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35</v>
      </c>
      <c r="AV13" s="60" t="s">
        <v>918</v>
      </c>
      <c r="AW13" s="95">
        <f>AR13-AS13</f>
        <v>34</v>
      </c>
    </row>
    <row r="14" spans="2:49" ht="76.5" customHeight="1" x14ac:dyDescent="0.25">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752</v>
      </c>
      <c r="AV14" s="60" t="s">
        <v>920</v>
      </c>
    </row>
    <row r="15" spans="2:49" ht="76.5" customHeight="1" x14ac:dyDescent="0.25">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35</v>
      </c>
      <c r="AV15" s="60" t="s">
        <v>778</v>
      </c>
    </row>
    <row r="16" spans="2:49" ht="76.5" customHeight="1" x14ac:dyDescent="0.25">
      <c r="B16" s="65">
        <v>9</v>
      </c>
      <c r="C16" s="2" t="s">
        <v>62</v>
      </c>
      <c r="D16" s="6" t="s">
        <v>80</v>
      </c>
      <c r="E16" s="2" t="s">
        <v>903</v>
      </c>
      <c r="F16" s="6" t="s">
        <v>904</v>
      </c>
      <c r="G16" s="6" t="s">
        <v>905</v>
      </c>
      <c r="H16" s="1" t="s">
        <v>67</v>
      </c>
      <c r="I16" s="2" t="s">
        <v>27</v>
      </c>
      <c r="J16" s="2" t="s">
        <v>68</v>
      </c>
      <c r="K16" s="2" t="s">
        <v>29</v>
      </c>
      <c r="L16" s="2" t="s">
        <v>30</v>
      </c>
      <c r="M16" s="6" t="s">
        <v>906</v>
      </c>
      <c r="N16" s="6" t="s">
        <v>907</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751</v>
      </c>
      <c r="AV16" s="60" t="s">
        <v>921</v>
      </c>
    </row>
    <row r="17" spans="2:48" ht="76.5" customHeight="1" x14ac:dyDescent="0.25">
      <c r="B17" s="65">
        <v>10</v>
      </c>
      <c r="C17" s="2" t="s">
        <v>62</v>
      </c>
      <c r="D17" s="6" t="s">
        <v>80</v>
      </c>
      <c r="E17" s="2" t="s">
        <v>908</v>
      </c>
      <c r="F17" s="6" t="s">
        <v>909</v>
      </c>
      <c r="G17" s="6" t="s">
        <v>909</v>
      </c>
      <c r="H17" s="1" t="s">
        <v>67</v>
      </c>
      <c r="I17" s="2" t="s">
        <v>46</v>
      </c>
      <c r="J17" s="2" t="s">
        <v>133</v>
      </c>
      <c r="K17" s="2" t="s">
        <v>29</v>
      </c>
      <c r="L17" s="2" t="s">
        <v>30</v>
      </c>
      <c r="M17" s="6" t="s">
        <v>910</v>
      </c>
      <c r="N17" s="6" t="s">
        <v>911</v>
      </c>
      <c r="O17" s="2"/>
      <c r="P17" s="2"/>
      <c r="Q17" s="5" t="s">
        <v>33</v>
      </c>
      <c r="R17" s="5" t="s">
        <v>34</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35</v>
      </c>
      <c r="AV17" s="60" t="s">
        <v>921</v>
      </c>
    </row>
    <row r="18" spans="2:48" ht="93.75" customHeight="1" x14ac:dyDescent="0.25">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x14ac:dyDescent="0.25">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779</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x14ac:dyDescent="0.25">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x14ac:dyDescent="0.25">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x14ac:dyDescent="0.25">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781</v>
      </c>
    </row>
    <row r="23" spans="2:48" ht="93" customHeight="1" x14ac:dyDescent="0.25">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x14ac:dyDescent="0.25">
      <c r="B24" s="65">
        <v>17</v>
      </c>
      <c r="C24" s="2" t="s">
        <v>21</v>
      </c>
      <c r="D24" s="6" t="s">
        <v>22</v>
      </c>
      <c r="E24" s="2" t="s">
        <v>23</v>
      </c>
      <c r="F24" s="6" t="s">
        <v>57</v>
      </c>
      <c r="G24" s="6" t="s">
        <v>58</v>
      </c>
      <c r="H24" s="2" t="s">
        <v>26</v>
      </c>
      <c r="I24" s="2" t="s">
        <v>27</v>
      </c>
      <c r="J24" s="2" t="s">
        <v>39</v>
      </c>
      <c r="K24" s="2" t="s">
        <v>29</v>
      </c>
      <c r="L24" s="2" t="s">
        <v>784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785</v>
      </c>
    </row>
    <row r="25" spans="2:48" ht="115.5" customHeight="1" x14ac:dyDescent="0.25">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786</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x14ac:dyDescent="0.25">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x14ac:dyDescent="0.25">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x14ac:dyDescent="0.25">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x14ac:dyDescent="0.25">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788</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x14ac:dyDescent="0.25">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x14ac:dyDescent="0.25">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x14ac:dyDescent="0.25">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x14ac:dyDescent="0.25">
      <c r="B33" s="65">
        <v>26</v>
      </c>
      <c r="C33" s="2" t="s">
        <v>168</v>
      </c>
      <c r="D33" s="6" t="s">
        <v>169</v>
      </c>
      <c r="E33" s="2" t="s">
        <v>170</v>
      </c>
      <c r="F33" s="6" t="s">
        <v>171</v>
      </c>
      <c r="G33" s="6" t="s">
        <v>172</v>
      </c>
      <c r="H33" s="2" t="s">
        <v>173</v>
      </c>
      <c r="I33" s="2" t="s">
        <v>27</v>
      </c>
      <c r="J33" s="2" t="s">
        <v>68</v>
      </c>
      <c r="K33" s="2" t="s">
        <v>29</v>
      </c>
      <c r="L33" s="2" t="s">
        <v>69</v>
      </c>
      <c r="M33" s="6" t="s">
        <v>174</v>
      </c>
      <c r="N33" s="6" t="s">
        <v>793</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922</v>
      </c>
    </row>
    <row r="34" spans="2:48" ht="113.25" customHeight="1" x14ac:dyDescent="0.25">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x14ac:dyDescent="0.25">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x14ac:dyDescent="0.2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x14ac:dyDescent="0.2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x14ac:dyDescent="0.25">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x14ac:dyDescent="0.25">
      <c r="B39" s="65">
        <v>32</v>
      </c>
      <c r="C39" s="2" t="s">
        <v>253</v>
      </c>
      <c r="D39" s="6" t="s">
        <v>254</v>
      </c>
      <c r="E39" s="2" t="s">
        <v>255</v>
      </c>
      <c r="F39" s="6" t="s">
        <v>804</v>
      </c>
      <c r="G39" s="6" t="s">
        <v>805</v>
      </c>
      <c r="H39" s="2" t="s">
        <v>258</v>
      </c>
      <c r="I39" s="2" t="s">
        <v>27</v>
      </c>
      <c r="J39" s="2" t="s">
        <v>68</v>
      </c>
      <c r="K39" s="2" t="s">
        <v>29</v>
      </c>
      <c r="L39" s="2" t="s">
        <v>69</v>
      </c>
      <c r="M39" s="6" t="s">
        <v>806</v>
      </c>
      <c r="N39" s="6" t="s">
        <v>807</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752</v>
      </c>
      <c r="AV39" s="60" t="s">
        <v>923</v>
      </c>
    </row>
    <row r="40" spans="2:48" ht="87" customHeight="1" x14ac:dyDescent="0.25">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808</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x14ac:dyDescent="0.25">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x14ac:dyDescent="0.25">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809</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x14ac:dyDescent="0.25">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x14ac:dyDescent="0.25">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x14ac:dyDescent="0.25">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924</v>
      </c>
    </row>
    <row r="46" spans="2:48" ht="93.75" customHeight="1" x14ac:dyDescent="0.25">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x14ac:dyDescent="0.25">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925</v>
      </c>
      <c r="AM47" s="2"/>
      <c r="AN47" s="2"/>
      <c r="AO47" s="2"/>
      <c r="AP47" s="2"/>
      <c r="AQ47" s="2"/>
      <c r="AR47" s="22" t="e">
        <f t="shared" si="0"/>
        <v>#VALUE!</v>
      </c>
      <c r="AS47" s="22">
        <f t="shared" si="0"/>
        <v>28975</v>
      </c>
      <c r="AT47" s="19" t="e">
        <f t="shared" si="3"/>
        <v>#VALUE!</v>
      </c>
      <c r="AU47" s="78" t="s">
        <v>35</v>
      </c>
      <c r="AV47" s="60"/>
    </row>
    <row r="48" spans="2:48" ht="93.75" customHeight="1" x14ac:dyDescent="0.25">
      <c r="B48" s="65">
        <v>41</v>
      </c>
      <c r="C48" s="2" t="s">
        <v>206</v>
      </c>
      <c r="D48" s="6" t="s">
        <v>207</v>
      </c>
      <c r="E48" s="6" t="s">
        <v>216</v>
      </c>
      <c r="F48" s="6" t="s">
        <v>913</v>
      </c>
      <c r="G48" s="6" t="s">
        <v>914</v>
      </c>
      <c r="H48" s="2" t="s">
        <v>211</v>
      </c>
      <c r="I48" s="2" t="s">
        <v>27</v>
      </c>
      <c r="J48" s="2" t="s">
        <v>68</v>
      </c>
      <c r="K48" s="2" t="s">
        <v>29</v>
      </c>
      <c r="L48" s="2" t="s">
        <v>69</v>
      </c>
      <c r="M48" s="6" t="s">
        <v>812</v>
      </c>
      <c r="N48" s="6" t="s">
        <v>915</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926</v>
      </c>
    </row>
    <row r="49" spans="2:48" ht="93.75" customHeight="1" x14ac:dyDescent="0.25">
      <c r="B49" s="65">
        <v>42</v>
      </c>
      <c r="C49" s="2" t="s">
        <v>206</v>
      </c>
      <c r="D49" s="6" t="s">
        <v>207</v>
      </c>
      <c r="E49" s="6" t="s">
        <v>207</v>
      </c>
      <c r="F49" s="6" t="s">
        <v>813</v>
      </c>
      <c r="G49" s="6" t="s">
        <v>814</v>
      </c>
      <c r="H49" s="2" t="s">
        <v>211</v>
      </c>
      <c r="I49" s="2" t="s">
        <v>27</v>
      </c>
      <c r="J49" s="2" t="s">
        <v>39</v>
      </c>
      <c r="K49" s="2" t="s">
        <v>29</v>
      </c>
      <c r="L49" s="2" t="s">
        <v>240</v>
      </c>
      <c r="M49" s="6" t="s">
        <v>815</v>
      </c>
      <c r="N49" s="6" t="s">
        <v>816</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x14ac:dyDescent="0.25">
      <c r="B50" s="65">
        <v>43</v>
      </c>
      <c r="C50" s="2" t="s">
        <v>206</v>
      </c>
      <c r="D50" s="6" t="s">
        <v>207</v>
      </c>
      <c r="E50" s="6" t="s">
        <v>216</v>
      </c>
      <c r="F50" s="6" t="s">
        <v>821</v>
      </c>
      <c r="G50" s="6" t="s">
        <v>822</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x14ac:dyDescent="0.25">
      <c r="B51" s="65">
        <v>44</v>
      </c>
      <c r="C51" s="2" t="s">
        <v>206</v>
      </c>
      <c r="D51" s="6" t="s">
        <v>207</v>
      </c>
      <c r="E51" s="2" t="s">
        <v>216</v>
      </c>
      <c r="F51" s="6" t="s">
        <v>823</v>
      </c>
      <c r="G51" s="6" t="s">
        <v>824</v>
      </c>
      <c r="H51" s="2" t="s">
        <v>211</v>
      </c>
      <c r="I51" s="2" t="s">
        <v>27</v>
      </c>
      <c r="J51" s="2" t="s">
        <v>68</v>
      </c>
      <c r="K51" s="2" t="s">
        <v>29</v>
      </c>
      <c r="L51" s="2" t="s">
        <v>240</v>
      </c>
      <c r="M51" s="6" t="s">
        <v>825</v>
      </c>
      <c r="N51" s="6" t="s">
        <v>826</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x14ac:dyDescent="0.25">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x14ac:dyDescent="0.25">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752</v>
      </c>
      <c r="AV53" s="60" t="s">
        <v>827</v>
      </c>
    </row>
    <row r="54" spans="2:48" ht="103.5" customHeight="1" x14ac:dyDescent="0.25">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x14ac:dyDescent="0.25">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x14ac:dyDescent="0.25">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x14ac:dyDescent="0.25">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x14ac:dyDescent="0.25">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x14ac:dyDescent="0.25">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x14ac:dyDescent="0.25">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x14ac:dyDescent="0.25">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x14ac:dyDescent="0.25">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927</v>
      </c>
    </row>
    <row r="63" spans="2:48" ht="77.25" customHeight="1" x14ac:dyDescent="0.25">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928</v>
      </c>
    </row>
    <row r="64" spans="2:48" ht="77.25" customHeight="1" x14ac:dyDescent="0.25">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927</v>
      </c>
    </row>
    <row r="65" spans="2:48" ht="77.25" customHeight="1" x14ac:dyDescent="0.25">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927</v>
      </c>
    </row>
    <row r="66" spans="2:48" ht="77.25" customHeight="1" x14ac:dyDescent="0.25">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927</v>
      </c>
    </row>
    <row r="67" spans="2:48" ht="77.25" customHeight="1" x14ac:dyDescent="0.25">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927</v>
      </c>
    </row>
    <row r="68" spans="2:48" ht="77.25" customHeight="1" x14ac:dyDescent="0.25">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927</v>
      </c>
    </row>
    <row r="69" spans="2:48" ht="77.25" customHeight="1" x14ac:dyDescent="0.25">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928</v>
      </c>
    </row>
    <row r="70" spans="2:48" ht="77.25" customHeight="1" x14ac:dyDescent="0.25">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927</v>
      </c>
    </row>
    <row r="71" spans="2:48" ht="77.25" customHeight="1" x14ac:dyDescent="0.25">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927</v>
      </c>
    </row>
    <row r="72" spans="2:48" ht="77.25" customHeight="1" x14ac:dyDescent="0.25">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928</v>
      </c>
    </row>
    <row r="73" spans="2:48" ht="77.25" customHeight="1" x14ac:dyDescent="0.25">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928</v>
      </c>
    </row>
    <row r="74" spans="2:48" ht="77.25" customHeight="1" x14ac:dyDescent="0.25">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927</v>
      </c>
    </row>
    <row r="75" spans="2:48" ht="90.75" customHeight="1" x14ac:dyDescent="0.25">
      <c r="B75" s="65">
        <v>68</v>
      </c>
      <c r="C75" s="2" t="s">
        <v>334</v>
      </c>
      <c r="D75" s="6" t="s">
        <v>335</v>
      </c>
      <c r="E75" s="2" t="s">
        <v>344</v>
      </c>
      <c r="F75" s="6" t="s">
        <v>880</v>
      </c>
      <c r="G75" s="6" t="s">
        <v>881</v>
      </c>
      <c r="H75" s="2" t="s">
        <v>339</v>
      </c>
      <c r="I75" s="2" t="s">
        <v>46</v>
      </c>
      <c r="J75" s="2" t="s">
        <v>68</v>
      </c>
      <c r="K75" s="2" t="s">
        <v>29</v>
      </c>
      <c r="L75" s="2" t="s">
        <v>882</v>
      </c>
      <c r="M75" s="6" t="s">
        <v>883</v>
      </c>
      <c r="N75" s="6" t="s">
        <v>884</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929</v>
      </c>
    </row>
    <row r="76" spans="2:48" ht="77.25" customHeight="1" x14ac:dyDescent="0.25">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929</v>
      </c>
    </row>
    <row r="77" spans="2:48" ht="77.25" customHeight="1" x14ac:dyDescent="0.25">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929</v>
      </c>
    </row>
    <row r="78" spans="2:48" ht="77.25" customHeight="1" x14ac:dyDescent="0.25">
      <c r="B78" s="65">
        <v>71</v>
      </c>
      <c r="C78" s="2" t="s">
        <v>334</v>
      </c>
      <c r="D78" s="6" t="s">
        <v>335</v>
      </c>
      <c r="E78" s="2" t="s">
        <v>344</v>
      </c>
      <c r="F78" s="6" t="s">
        <v>886</v>
      </c>
      <c r="G78" s="6" t="s">
        <v>887</v>
      </c>
      <c r="H78" s="2" t="s">
        <v>339</v>
      </c>
      <c r="I78" s="2" t="s">
        <v>46</v>
      </c>
      <c r="J78" s="2" t="s">
        <v>68</v>
      </c>
      <c r="K78" s="2" t="s">
        <v>29</v>
      </c>
      <c r="L78" s="2" t="s">
        <v>143</v>
      </c>
      <c r="M78" s="6" t="s">
        <v>888</v>
      </c>
      <c r="N78" s="6" t="s">
        <v>889</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929</v>
      </c>
    </row>
    <row r="79" spans="2:48" ht="84.75" customHeight="1" x14ac:dyDescent="0.25">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x14ac:dyDescent="0.25">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x14ac:dyDescent="0.25">
      <c r="B81" s="65">
        <v>74</v>
      </c>
      <c r="C81" s="2" t="s">
        <v>402</v>
      </c>
      <c r="D81" s="6" t="s">
        <v>403</v>
      </c>
      <c r="E81" s="2" t="s">
        <v>898</v>
      </c>
      <c r="F81" s="6" t="s">
        <v>405</v>
      </c>
      <c r="G81" s="6" t="s">
        <v>899</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x14ac:dyDescent="0.25">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752</v>
      </c>
      <c r="AV82" s="60"/>
    </row>
    <row r="83" spans="2:48" ht="93" customHeight="1" thickBot="1" x14ac:dyDescent="0.3">
      <c r="B83" s="65">
        <v>76</v>
      </c>
      <c r="C83" s="61" t="s">
        <v>487</v>
      </c>
      <c r="D83" s="62" t="s">
        <v>488</v>
      </c>
      <c r="E83" s="61" t="s">
        <v>496</v>
      </c>
      <c r="F83" s="62" t="s">
        <v>497</v>
      </c>
      <c r="G83" s="62" t="s">
        <v>498</v>
      </c>
      <c r="H83" s="61" t="s">
        <v>499</v>
      </c>
      <c r="I83" s="61" t="s">
        <v>27</v>
      </c>
      <c r="J83" s="61" t="s">
        <v>39</v>
      </c>
      <c r="K83" s="61" t="s">
        <v>29</v>
      </c>
      <c r="L83" s="61" t="s">
        <v>69</v>
      </c>
      <c r="M83" s="62" t="s">
        <v>900</v>
      </c>
      <c r="N83" s="62" t="s">
        <v>901</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x14ac:dyDescent="0.3">
      <c r="B84" s="65">
        <v>77</v>
      </c>
      <c r="C84" s="61" t="s">
        <v>487</v>
      </c>
      <c r="D84" s="6" t="s">
        <v>488</v>
      </c>
      <c r="E84" s="2" t="s">
        <v>489</v>
      </c>
      <c r="F84" s="6" t="s">
        <v>490</v>
      </c>
      <c r="G84" s="6" t="s">
        <v>491</v>
      </c>
      <c r="H84" s="2" t="s">
        <v>492</v>
      </c>
      <c r="I84" s="2" t="s">
        <v>53</v>
      </c>
      <c r="J84" s="61" t="s">
        <v>39</v>
      </c>
      <c r="K84" s="2" t="s">
        <v>29</v>
      </c>
      <c r="L84" s="2" t="s">
        <v>69</v>
      </c>
      <c r="M84" s="6" t="s">
        <v>902</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x14ac:dyDescent="0.3"/>
    <row r="87" spans="2:48" ht="60" customHeight="1" thickBot="1" x14ac:dyDescent="0.3">
      <c r="B87" s="290" t="s">
        <v>530</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1"/>
      <c r="AV87" s="292"/>
    </row>
    <row r="89" spans="2:48" x14ac:dyDescent="0.25">
      <c r="D89" s="7">
        <v>2</v>
      </c>
    </row>
    <row r="90" spans="2:48" x14ac:dyDescent="0.25">
      <c r="D90" s="7">
        <v>7</v>
      </c>
    </row>
    <row r="91" spans="2:48" x14ac:dyDescent="0.25">
      <c r="D91" s="7">
        <v>3</v>
      </c>
    </row>
  </sheetData>
  <autoFilter ref="A7:AW84" xr:uid="{00000000-0009-0000-0000-000007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296" t="s">
        <v>930</v>
      </c>
      <c r="B1" s="296" t="s">
        <v>18</v>
      </c>
      <c r="C1" s="296" t="s">
        <v>931</v>
      </c>
      <c r="D1" s="296"/>
      <c r="E1" s="295" t="s">
        <v>932</v>
      </c>
    </row>
    <row r="2" spans="1:5" x14ac:dyDescent="0.2">
      <c r="A2" s="296"/>
      <c r="B2" s="296"/>
      <c r="C2" s="157" t="s">
        <v>933</v>
      </c>
      <c r="D2" s="157" t="s">
        <v>934</v>
      </c>
      <c r="E2" s="295"/>
    </row>
    <row r="3" spans="1:5" ht="52.5" hidden="1" customHeight="1" x14ac:dyDescent="0.2">
      <c r="A3" s="9" t="s">
        <v>935</v>
      </c>
      <c r="B3" s="9" t="s">
        <v>936</v>
      </c>
      <c r="C3" s="9" t="s">
        <v>937</v>
      </c>
      <c r="D3" s="9" t="s">
        <v>938</v>
      </c>
      <c r="E3" s="9" t="s">
        <v>939</v>
      </c>
    </row>
    <row r="4" spans="1:5" ht="38.25" hidden="1" x14ac:dyDescent="0.2">
      <c r="A4" s="9" t="s">
        <v>940</v>
      </c>
      <c r="B4" s="9" t="s">
        <v>941</v>
      </c>
      <c r="C4" s="9" t="s">
        <v>942</v>
      </c>
      <c r="D4" s="9" t="s">
        <v>943</v>
      </c>
      <c r="E4" s="9" t="s">
        <v>944</v>
      </c>
    </row>
    <row r="5" spans="1:5" ht="51" hidden="1" x14ac:dyDescent="0.2">
      <c r="A5" s="9" t="s">
        <v>945</v>
      </c>
      <c r="B5" s="158" t="s">
        <v>946</v>
      </c>
      <c r="C5" s="158" t="s">
        <v>947</v>
      </c>
      <c r="D5" s="158" t="s">
        <v>948</v>
      </c>
      <c r="E5" s="158" t="s">
        <v>949</v>
      </c>
    </row>
    <row r="6" spans="1:5" ht="51" x14ac:dyDescent="0.2">
      <c r="A6" s="9" t="s">
        <v>945</v>
      </c>
      <c r="B6" s="158" t="s">
        <v>950</v>
      </c>
      <c r="C6" s="158" t="s">
        <v>951</v>
      </c>
      <c r="D6" s="158" t="s">
        <v>952</v>
      </c>
      <c r="E6" s="158" t="s">
        <v>953</v>
      </c>
    </row>
    <row r="7" spans="1:5" ht="51" hidden="1" x14ac:dyDescent="0.2">
      <c r="A7" s="9" t="s">
        <v>945</v>
      </c>
      <c r="B7" s="158" t="s">
        <v>954</v>
      </c>
      <c r="C7" s="158" t="s">
        <v>955</v>
      </c>
      <c r="D7" s="158" t="s">
        <v>956</v>
      </c>
      <c r="E7" s="158" t="s">
        <v>957</v>
      </c>
    </row>
    <row r="8" spans="1:5" ht="51" hidden="1" x14ac:dyDescent="0.2">
      <c r="A8" s="9" t="s">
        <v>945</v>
      </c>
      <c r="B8" s="158" t="s">
        <v>958</v>
      </c>
      <c r="C8" s="158" t="s">
        <v>959</v>
      </c>
      <c r="D8" s="158" t="s">
        <v>960</v>
      </c>
      <c r="E8" s="158" t="s">
        <v>961</v>
      </c>
    </row>
    <row r="9" spans="1:5" ht="55.5" hidden="1" customHeight="1" x14ac:dyDescent="0.2">
      <c r="A9" s="9" t="s">
        <v>945</v>
      </c>
      <c r="B9" s="158" t="s">
        <v>962</v>
      </c>
      <c r="C9" s="158" t="s">
        <v>963</v>
      </c>
      <c r="D9" s="158" t="s">
        <v>964</v>
      </c>
      <c r="E9" s="158" t="s">
        <v>965</v>
      </c>
    </row>
    <row r="10" spans="1:5" ht="63.75" hidden="1" x14ac:dyDescent="0.2">
      <c r="A10" s="9" t="s">
        <v>966</v>
      </c>
      <c r="B10" s="158" t="s">
        <v>967</v>
      </c>
      <c r="C10" s="158" t="s">
        <v>968</v>
      </c>
      <c r="D10" s="158" t="s">
        <v>969</v>
      </c>
      <c r="E10" s="158" t="s">
        <v>970</v>
      </c>
    </row>
    <row r="11" spans="1:5" ht="63.75" hidden="1" x14ac:dyDescent="0.2">
      <c r="A11" s="9" t="s">
        <v>966</v>
      </c>
      <c r="B11" s="158" t="s">
        <v>971</v>
      </c>
      <c r="C11" s="158" t="s">
        <v>972</v>
      </c>
      <c r="D11" s="158" t="s">
        <v>969</v>
      </c>
      <c r="E11" s="158" t="s">
        <v>973</v>
      </c>
    </row>
    <row r="12" spans="1:5" ht="129" hidden="1" customHeight="1" x14ac:dyDescent="0.2">
      <c r="A12" s="9" t="s">
        <v>974</v>
      </c>
      <c r="B12" s="158" t="s">
        <v>975</v>
      </c>
      <c r="C12" s="158" t="s">
        <v>976</v>
      </c>
      <c r="D12" s="158" t="s">
        <v>977</v>
      </c>
      <c r="E12" s="158" t="s">
        <v>978</v>
      </c>
    </row>
    <row r="13" spans="1:5" ht="89.25" hidden="1" x14ac:dyDescent="0.2">
      <c r="A13" s="9" t="s">
        <v>974</v>
      </c>
      <c r="B13" s="158" t="s">
        <v>979</v>
      </c>
      <c r="C13" s="158" t="s">
        <v>980</v>
      </c>
      <c r="D13" s="158" t="s">
        <v>969</v>
      </c>
      <c r="E13" s="158" t="s">
        <v>981</v>
      </c>
    </row>
    <row r="14" spans="1:5" ht="89.25" hidden="1" x14ac:dyDescent="0.2">
      <c r="A14" s="9" t="s">
        <v>974</v>
      </c>
      <c r="B14" s="158" t="s">
        <v>982</v>
      </c>
      <c r="C14" s="158" t="s">
        <v>983</v>
      </c>
      <c r="D14" s="158" t="s">
        <v>984</v>
      </c>
      <c r="E14" s="158" t="s">
        <v>985</v>
      </c>
    </row>
    <row r="15" spans="1:5" ht="89.25" hidden="1" x14ac:dyDescent="0.2">
      <c r="A15" s="9" t="s">
        <v>974</v>
      </c>
      <c r="B15" s="158" t="s">
        <v>986</v>
      </c>
      <c r="C15" s="158" t="s">
        <v>987</v>
      </c>
      <c r="D15" s="158" t="s">
        <v>977</v>
      </c>
      <c r="E15" s="158" t="s">
        <v>988</v>
      </c>
    </row>
    <row r="16" spans="1:5" ht="89.25" hidden="1" x14ac:dyDescent="0.2">
      <c r="A16" s="9" t="s">
        <v>974</v>
      </c>
      <c r="B16" s="158" t="s">
        <v>989</v>
      </c>
      <c r="C16" s="158" t="s">
        <v>990</v>
      </c>
      <c r="D16" s="158" t="s">
        <v>969</v>
      </c>
      <c r="E16" s="158" t="s">
        <v>991</v>
      </c>
    </row>
    <row r="17" spans="1:5" ht="89.25" hidden="1" x14ac:dyDescent="0.2">
      <c r="A17" s="9" t="s">
        <v>974</v>
      </c>
      <c r="B17" s="158" t="s">
        <v>992</v>
      </c>
      <c r="C17" s="158" t="s">
        <v>993</v>
      </c>
      <c r="D17" s="158" t="s">
        <v>994</v>
      </c>
      <c r="E17" s="158" t="s">
        <v>995</v>
      </c>
    </row>
    <row r="18" spans="1:5" ht="89.25" hidden="1" x14ac:dyDescent="0.2">
      <c r="A18" s="9" t="s">
        <v>974</v>
      </c>
      <c r="B18" s="158" t="s">
        <v>996</v>
      </c>
      <c r="C18" s="158" t="s">
        <v>997</v>
      </c>
      <c r="D18" s="158" t="s">
        <v>998</v>
      </c>
      <c r="E18" s="158" t="s">
        <v>999</v>
      </c>
    </row>
    <row r="19" spans="1:5" ht="38.25" hidden="1" x14ac:dyDescent="0.2">
      <c r="A19" s="9" t="s">
        <v>1000</v>
      </c>
      <c r="B19" s="158" t="s">
        <v>1001</v>
      </c>
      <c r="C19" s="158" t="s">
        <v>1002</v>
      </c>
      <c r="D19" s="158" t="s">
        <v>1003</v>
      </c>
      <c r="E19" s="158" t="s">
        <v>1004</v>
      </c>
    </row>
    <row r="20" spans="1:5" ht="38.25" hidden="1" x14ac:dyDescent="0.2">
      <c r="A20" s="9" t="s">
        <v>1000</v>
      </c>
      <c r="B20" s="158" t="s">
        <v>1005</v>
      </c>
      <c r="C20" s="158" t="s">
        <v>1006</v>
      </c>
      <c r="D20" s="158" t="s">
        <v>1003</v>
      </c>
      <c r="E20" s="158" t="s">
        <v>1007</v>
      </c>
    </row>
    <row r="21" spans="1:5" ht="50.25" hidden="1" customHeight="1" x14ac:dyDescent="0.2">
      <c r="A21" s="9" t="s">
        <v>1000</v>
      </c>
      <c r="B21" s="158" t="s">
        <v>1008</v>
      </c>
      <c r="C21" s="158" t="s">
        <v>1009</v>
      </c>
      <c r="D21" s="158" t="s">
        <v>1003</v>
      </c>
      <c r="E21" s="158" t="s">
        <v>1010</v>
      </c>
    </row>
    <row r="22" spans="1:5" ht="57.75" hidden="1" customHeight="1" x14ac:dyDescent="0.2">
      <c r="A22" s="9" t="s">
        <v>1011</v>
      </c>
      <c r="B22" s="158" t="s">
        <v>1012</v>
      </c>
      <c r="C22" s="158" t="s">
        <v>1013</v>
      </c>
      <c r="D22" s="158" t="s">
        <v>969</v>
      </c>
      <c r="E22" s="158" t="s">
        <v>1014</v>
      </c>
    </row>
    <row r="23" spans="1:5" ht="62.25" hidden="1" customHeight="1" x14ac:dyDescent="0.2">
      <c r="A23" s="9" t="s">
        <v>1011</v>
      </c>
      <c r="B23" s="158" t="s">
        <v>971</v>
      </c>
      <c r="C23" s="158" t="s">
        <v>972</v>
      </c>
      <c r="D23" s="158" t="s">
        <v>969</v>
      </c>
      <c r="E23" s="158" t="s">
        <v>973</v>
      </c>
    </row>
    <row r="24" spans="1:5" ht="38.25" hidden="1" x14ac:dyDescent="0.2">
      <c r="A24" s="9" t="s">
        <v>1015</v>
      </c>
      <c r="B24" s="158" t="s">
        <v>1016</v>
      </c>
      <c r="C24" s="158" t="s">
        <v>1017</v>
      </c>
      <c r="D24" s="158" t="s">
        <v>1018</v>
      </c>
      <c r="E24" s="158" t="s">
        <v>1019</v>
      </c>
    </row>
    <row r="25" spans="1:5" ht="51" hidden="1" x14ac:dyDescent="0.2">
      <c r="A25" s="9" t="s">
        <v>1015</v>
      </c>
      <c r="B25" s="158" t="s">
        <v>1020</v>
      </c>
      <c r="C25" s="158" t="s">
        <v>1021</v>
      </c>
      <c r="D25" s="158" t="s">
        <v>969</v>
      </c>
      <c r="E25" s="158" t="s">
        <v>1022</v>
      </c>
    </row>
    <row r="26" spans="1:5" ht="69.75" hidden="1" customHeight="1" x14ac:dyDescent="0.2">
      <c r="A26" s="9" t="s">
        <v>1015</v>
      </c>
      <c r="B26" s="297" t="s">
        <v>1023</v>
      </c>
      <c r="C26" s="297" t="s">
        <v>1024</v>
      </c>
      <c r="D26" s="297" t="s">
        <v>1025</v>
      </c>
      <c r="E26" s="158" t="s">
        <v>1026</v>
      </c>
    </row>
    <row r="27" spans="1:5" ht="38.25" hidden="1" x14ac:dyDescent="0.2">
      <c r="A27" s="9" t="s">
        <v>1015</v>
      </c>
      <c r="B27" s="297"/>
      <c r="C27" s="297"/>
      <c r="D27" s="297"/>
      <c r="E27" s="158" t="s">
        <v>1027</v>
      </c>
    </row>
    <row r="28" spans="1:5" ht="63.75" hidden="1" x14ac:dyDescent="0.2">
      <c r="A28" s="9" t="s">
        <v>1015</v>
      </c>
      <c r="B28" s="158" t="s">
        <v>1028</v>
      </c>
      <c r="C28" s="158" t="s">
        <v>1029</v>
      </c>
      <c r="D28" s="158" t="s">
        <v>1030</v>
      </c>
      <c r="E28" s="158" t="s">
        <v>1031</v>
      </c>
    </row>
  </sheetData>
  <autoFilter ref="A2:E28" xr:uid="{00000000-0009-0000-0000-000009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298" t="s">
        <v>1032</v>
      </c>
      <c r="B1" s="298"/>
      <c r="C1" s="298" t="s">
        <v>18</v>
      </c>
      <c r="D1" s="298"/>
    </row>
    <row r="2" spans="1:4" ht="16.5" x14ac:dyDescent="0.25">
      <c r="A2" s="16" t="s">
        <v>1033</v>
      </c>
      <c r="B2" s="16" t="s">
        <v>933</v>
      </c>
      <c r="C2" s="16" t="s">
        <v>1034</v>
      </c>
      <c r="D2" s="16" t="s">
        <v>1035</v>
      </c>
    </row>
    <row r="3" spans="1:4" ht="38.25" x14ac:dyDescent="0.25">
      <c r="A3" s="17">
        <v>7507</v>
      </c>
      <c r="B3" s="13" t="s">
        <v>1036</v>
      </c>
      <c r="C3" s="10">
        <v>1</v>
      </c>
      <c r="D3" s="14" t="s">
        <v>1037</v>
      </c>
    </row>
    <row r="4" spans="1:4" ht="51" x14ac:dyDescent="0.25">
      <c r="A4" s="17">
        <v>7507</v>
      </c>
      <c r="B4" s="13" t="s">
        <v>1036</v>
      </c>
      <c r="C4" s="10">
        <v>2</v>
      </c>
      <c r="D4" s="12" t="s">
        <v>1038</v>
      </c>
    </row>
    <row r="5" spans="1:4" ht="33" x14ac:dyDescent="0.25">
      <c r="A5" s="17">
        <v>7507</v>
      </c>
      <c r="B5" s="13" t="s">
        <v>1036</v>
      </c>
      <c r="C5" s="10">
        <v>4</v>
      </c>
      <c r="D5" s="12" t="s">
        <v>1039</v>
      </c>
    </row>
    <row r="6" spans="1:4" ht="33" x14ac:dyDescent="0.25">
      <c r="A6" s="17">
        <v>7507</v>
      </c>
      <c r="B6" s="13" t="s">
        <v>1036</v>
      </c>
      <c r="C6" s="10">
        <v>5</v>
      </c>
      <c r="D6" s="12" t="s">
        <v>1040</v>
      </c>
    </row>
    <row r="7" spans="1:4" ht="38.25" x14ac:dyDescent="0.25">
      <c r="A7" s="17">
        <v>7507</v>
      </c>
      <c r="B7" s="13" t="s">
        <v>1036</v>
      </c>
      <c r="C7" s="10">
        <v>19</v>
      </c>
      <c r="D7" s="12" t="s">
        <v>1041</v>
      </c>
    </row>
    <row r="8" spans="1:4" ht="38.25" x14ac:dyDescent="0.25">
      <c r="A8" s="17">
        <v>7507</v>
      </c>
      <c r="B8" s="13" t="s">
        <v>1036</v>
      </c>
      <c r="C8" s="10">
        <v>6</v>
      </c>
      <c r="D8" s="12" t="s">
        <v>1042</v>
      </c>
    </row>
    <row r="9" spans="1:4" ht="38.25" x14ac:dyDescent="0.25">
      <c r="A9" s="17">
        <v>7507</v>
      </c>
      <c r="B9" s="13" t="s">
        <v>1036</v>
      </c>
      <c r="C9" s="10">
        <v>7</v>
      </c>
      <c r="D9" s="14" t="s">
        <v>1043</v>
      </c>
    </row>
    <row r="10" spans="1:4" ht="51" x14ac:dyDescent="0.25">
      <c r="A10" s="17">
        <v>7507</v>
      </c>
      <c r="B10" s="13" t="s">
        <v>1036</v>
      </c>
      <c r="C10" s="10">
        <v>8</v>
      </c>
      <c r="D10" s="14" t="s">
        <v>1044</v>
      </c>
    </row>
    <row r="11" spans="1:4" ht="38.25" x14ac:dyDescent="0.25">
      <c r="A11" s="17">
        <v>7507</v>
      </c>
      <c r="B11" s="13" t="s">
        <v>1036</v>
      </c>
      <c r="C11" s="10">
        <v>9</v>
      </c>
      <c r="D11" s="12" t="s">
        <v>1045</v>
      </c>
    </row>
    <row r="12" spans="1:4" ht="38.25" x14ac:dyDescent="0.25">
      <c r="A12" s="17">
        <v>7507</v>
      </c>
      <c r="B12" s="13" t="s">
        <v>1036</v>
      </c>
      <c r="C12" s="10">
        <v>10</v>
      </c>
      <c r="D12" s="12" t="s">
        <v>1046</v>
      </c>
    </row>
    <row r="13" spans="1:4" ht="38.25" x14ac:dyDescent="0.25">
      <c r="A13" s="17">
        <v>7507</v>
      </c>
      <c r="B13" s="13" t="s">
        <v>1036</v>
      </c>
      <c r="C13" s="10">
        <v>11</v>
      </c>
      <c r="D13" s="12" t="s">
        <v>1047</v>
      </c>
    </row>
    <row r="14" spans="1:4" ht="38.25" x14ac:dyDescent="0.25">
      <c r="A14" s="17">
        <v>7507</v>
      </c>
      <c r="B14" s="13" t="s">
        <v>1036</v>
      </c>
      <c r="C14" s="10">
        <v>12</v>
      </c>
      <c r="D14" s="14" t="s">
        <v>1048</v>
      </c>
    </row>
    <row r="15" spans="1:4" ht="33" x14ac:dyDescent="0.25">
      <c r="A15" s="17">
        <v>7507</v>
      </c>
      <c r="B15" s="13" t="s">
        <v>1036</v>
      </c>
      <c r="C15" s="10">
        <v>13</v>
      </c>
      <c r="D15" s="12" t="s">
        <v>1049</v>
      </c>
    </row>
    <row r="16" spans="1:4" ht="38.25" x14ac:dyDescent="0.25">
      <c r="A16" s="17">
        <v>7507</v>
      </c>
      <c r="B16" s="13" t="s">
        <v>1036</v>
      </c>
      <c r="C16" s="10">
        <v>14</v>
      </c>
      <c r="D16" s="12" t="s">
        <v>1050</v>
      </c>
    </row>
    <row r="17" spans="1:4" ht="38.25" x14ac:dyDescent="0.25">
      <c r="A17" s="17">
        <v>7507</v>
      </c>
      <c r="B17" s="13" t="s">
        <v>1036</v>
      </c>
      <c r="C17" s="10">
        <v>15</v>
      </c>
      <c r="D17" s="12" t="s">
        <v>1051</v>
      </c>
    </row>
    <row r="18" spans="1:4" ht="38.25" x14ac:dyDescent="0.25">
      <c r="A18" s="17">
        <v>7507</v>
      </c>
      <c r="B18" s="13" t="s">
        <v>1036</v>
      </c>
      <c r="C18" s="10">
        <v>17</v>
      </c>
      <c r="D18" s="14" t="s">
        <v>1052</v>
      </c>
    </row>
    <row r="19" spans="1:4" ht="38.25" x14ac:dyDescent="0.25">
      <c r="A19" s="17">
        <v>7507</v>
      </c>
      <c r="B19" s="13" t="s">
        <v>1036</v>
      </c>
      <c r="C19" s="10">
        <v>18</v>
      </c>
      <c r="D19" s="12" t="s">
        <v>1053</v>
      </c>
    </row>
    <row r="20" spans="1:4" ht="38.25" x14ac:dyDescent="0.25">
      <c r="A20" s="17">
        <v>7507</v>
      </c>
      <c r="B20" s="13" t="s">
        <v>1036</v>
      </c>
      <c r="C20" s="10">
        <v>20</v>
      </c>
      <c r="D20" s="12" t="s">
        <v>1054</v>
      </c>
    </row>
    <row r="21" spans="1:4" ht="38.25" x14ac:dyDescent="0.25">
      <c r="A21" s="17">
        <v>7507</v>
      </c>
      <c r="B21" s="13" t="s">
        <v>1036</v>
      </c>
      <c r="C21" s="10">
        <v>24</v>
      </c>
      <c r="D21" s="12" t="s">
        <v>1055</v>
      </c>
    </row>
    <row r="22" spans="1:4" ht="33" x14ac:dyDescent="0.25">
      <c r="A22" s="17">
        <v>7507</v>
      </c>
      <c r="B22" s="13" t="s">
        <v>1036</v>
      </c>
      <c r="C22" s="10">
        <v>26</v>
      </c>
      <c r="D22" s="15" t="s">
        <v>1056</v>
      </c>
    </row>
    <row r="23" spans="1:4" ht="33" x14ac:dyDescent="0.25">
      <c r="A23" s="17">
        <v>7507</v>
      </c>
      <c r="B23" s="13" t="s">
        <v>1036</v>
      </c>
      <c r="C23" s="10">
        <v>27</v>
      </c>
      <c r="D23" s="9" t="s">
        <v>1057</v>
      </c>
    </row>
    <row r="24" spans="1:4" ht="89.25" x14ac:dyDescent="0.25">
      <c r="A24" s="17">
        <v>7512</v>
      </c>
      <c r="B24" s="13" t="s">
        <v>1058</v>
      </c>
      <c r="C24" s="10">
        <v>6</v>
      </c>
      <c r="D24" s="12" t="s">
        <v>1059</v>
      </c>
    </row>
    <row r="25" spans="1:4" ht="51" x14ac:dyDescent="0.25">
      <c r="A25" s="17">
        <v>7512</v>
      </c>
      <c r="B25" s="13" t="s">
        <v>1058</v>
      </c>
      <c r="C25" s="10">
        <v>4</v>
      </c>
      <c r="D25" s="12" t="s">
        <v>1060</v>
      </c>
    </row>
    <row r="26" spans="1:4" ht="76.5" x14ac:dyDescent="0.25">
      <c r="A26" s="17">
        <v>7512</v>
      </c>
      <c r="B26" s="13" t="s">
        <v>1058</v>
      </c>
      <c r="C26" s="10">
        <v>5</v>
      </c>
      <c r="D26" s="12" t="s">
        <v>1061</v>
      </c>
    </row>
    <row r="27" spans="1:4" ht="33" x14ac:dyDescent="0.25">
      <c r="A27" s="17">
        <v>7512</v>
      </c>
      <c r="B27" s="13" t="s">
        <v>1058</v>
      </c>
      <c r="C27" s="10">
        <v>9</v>
      </c>
      <c r="D27" s="12" t="s">
        <v>1062</v>
      </c>
    </row>
    <row r="28" spans="1:4" ht="63.75" x14ac:dyDescent="0.25">
      <c r="A28" s="17">
        <v>7512</v>
      </c>
      <c r="B28" s="13" t="s">
        <v>1058</v>
      </c>
      <c r="C28" s="10">
        <v>2</v>
      </c>
      <c r="D28" s="12" t="s">
        <v>1063</v>
      </c>
    </row>
    <row r="29" spans="1:4" ht="51" x14ac:dyDescent="0.25">
      <c r="A29" s="17">
        <v>7512</v>
      </c>
      <c r="B29" s="13" t="s">
        <v>1058</v>
      </c>
      <c r="C29" s="11">
        <v>7</v>
      </c>
      <c r="D29" s="15" t="s">
        <v>1064</v>
      </c>
    </row>
    <row r="30" spans="1:4" ht="33" x14ac:dyDescent="0.25">
      <c r="A30" s="17">
        <v>7510</v>
      </c>
      <c r="B30" s="13" t="s">
        <v>1065</v>
      </c>
      <c r="C30" s="10">
        <v>5</v>
      </c>
      <c r="D30" s="14" t="s">
        <v>1066</v>
      </c>
    </row>
    <row r="31" spans="1:4" ht="33" x14ac:dyDescent="0.25">
      <c r="A31" s="17">
        <v>7510</v>
      </c>
      <c r="B31" s="13" t="s">
        <v>1065</v>
      </c>
      <c r="C31" s="10">
        <v>7</v>
      </c>
      <c r="D31" s="12" t="s">
        <v>1067</v>
      </c>
    </row>
    <row r="32" spans="1:4" ht="38.25" x14ac:dyDescent="0.25">
      <c r="A32" s="17">
        <v>7513</v>
      </c>
      <c r="B32" s="13" t="s">
        <v>1068</v>
      </c>
      <c r="C32" s="10">
        <v>1</v>
      </c>
      <c r="D32" s="12" t="s">
        <v>1069</v>
      </c>
    </row>
    <row r="33" spans="1:4" ht="25.5" x14ac:dyDescent="0.25">
      <c r="A33" s="17">
        <v>7513</v>
      </c>
      <c r="B33" s="13" t="s">
        <v>1068</v>
      </c>
      <c r="C33" s="10">
        <v>3</v>
      </c>
      <c r="D33" s="12" t="s">
        <v>1070</v>
      </c>
    </row>
    <row r="34" spans="1:4" ht="25.5" x14ac:dyDescent="0.25">
      <c r="A34" s="17">
        <v>7513</v>
      </c>
      <c r="B34" s="13" t="s">
        <v>1068</v>
      </c>
      <c r="C34" s="10">
        <v>2</v>
      </c>
      <c r="D34" s="14" t="s">
        <v>1071</v>
      </c>
    </row>
    <row r="35" spans="1:4" ht="38.25" x14ac:dyDescent="0.25">
      <c r="A35" s="17">
        <v>7513</v>
      </c>
      <c r="B35" s="13" t="s">
        <v>1068</v>
      </c>
      <c r="C35" s="10">
        <v>7</v>
      </c>
      <c r="D35" s="12" t="s">
        <v>1072</v>
      </c>
    </row>
    <row r="36" spans="1:4" ht="51" x14ac:dyDescent="0.25">
      <c r="A36" s="17">
        <v>7513</v>
      </c>
      <c r="B36" s="13" t="s">
        <v>1068</v>
      </c>
      <c r="C36" s="10">
        <v>10</v>
      </c>
      <c r="D36" s="158" t="s">
        <v>1073</v>
      </c>
    </row>
    <row r="37" spans="1:4" ht="38.25" x14ac:dyDescent="0.25">
      <c r="A37" s="17">
        <v>7513</v>
      </c>
      <c r="B37" s="13" t="s">
        <v>1068</v>
      </c>
      <c r="C37" s="10">
        <v>5</v>
      </c>
      <c r="D37" s="12" t="s">
        <v>1074</v>
      </c>
    </row>
    <row r="38" spans="1:4" ht="49.5" x14ac:dyDescent="0.25">
      <c r="A38" s="17">
        <v>7532</v>
      </c>
      <c r="B38" s="13" t="s">
        <v>1075</v>
      </c>
      <c r="C38" s="10">
        <v>1</v>
      </c>
      <c r="D38" s="12" t="s">
        <v>1076</v>
      </c>
    </row>
    <row r="39" spans="1:4" ht="49.5" x14ac:dyDescent="0.25">
      <c r="A39" s="17">
        <v>7532</v>
      </c>
      <c r="B39" s="13" t="s">
        <v>1075</v>
      </c>
      <c r="C39" s="10">
        <v>2</v>
      </c>
      <c r="D39" s="12" t="s">
        <v>1077</v>
      </c>
    </row>
    <row r="40" spans="1:4" ht="49.5" x14ac:dyDescent="0.25">
      <c r="A40" s="17">
        <v>7532</v>
      </c>
      <c r="B40" s="13" t="s">
        <v>1075</v>
      </c>
      <c r="C40" s="10">
        <v>3</v>
      </c>
      <c r="D40" s="12" t="s">
        <v>1078</v>
      </c>
    </row>
    <row r="41" spans="1:4" ht="38.25" x14ac:dyDescent="0.25">
      <c r="A41" s="17">
        <v>7511</v>
      </c>
      <c r="B41" s="13" t="s">
        <v>1079</v>
      </c>
      <c r="C41" s="10">
        <v>1</v>
      </c>
      <c r="D41" s="14" t="s">
        <v>1016</v>
      </c>
    </row>
    <row r="42" spans="1:4" ht="33" x14ac:dyDescent="0.25">
      <c r="A42" s="17">
        <v>7511</v>
      </c>
      <c r="B42" s="13" t="s">
        <v>1079</v>
      </c>
      <c r="C42" s="10">
        <v>2</v>
      </c>
      <c r="D42" s="14" t="s">
        <v>1080</v>
      </c>
    </row>
    <row r="43" spans="1:4" ht="33" x14ac:dyDescent="0.25">
      <c r="A43" s="17">
        <v>7511</v>
      </c>
      <c r="B43" s="13" t="s">
        <v>1079</v>
      </c>
      <c r="C43" s="10">
        <v>6</v>
      </c>
      <c r="D43" s="14" t="s">
        <v>1081</v>
      </c>
    </row>
    <row r="44" spans="1:4" ht="51" x14ac:dyDescent="0.25">
      <c r="A44" s="17">
        <v>7515</v>
      </c>
      <c r="B44" s="13" t="s">
        <v>1082</v>
      </c>
      <c r="C44" s="10">
        <v>11</v>
      </c>
      <c r="D44" s="14" t="s">
        <v>1083</v>
      </c>
    </row>
    <row r="45" spans="1:4" ht="38.25" x14ac:dyDescent="0.25">
      <c r="A45" s="17">
        <v>7515</v>
      </c>
      <c r="B45" s="13" t="s">
        <v>1082</v>
      </c>
      <c r="C45" s="10">
        <v>12</v>
      </c>
      <c r="D45" s="14" t="s">
        <v>1084</v>
      </c>
    </row>
    <row r="46" spans="1:4" ht="51" x14ac:dyDescent="0.25">
      <c r="A46" s="17">
        <v>7514</v>
      </c>
      <c r="B46" s="13" t="s">
        <v>1085</v>
      </c>
      <c r="C46" s="10">
        <v>1</v>
      </c>
      <c r="D46" s="14" t="s">
        <v>1086</v>
      </c>
    </row>
    <row r="47" spans="1:4" ht="49.5" x14ac:dyDescent="0.25">
      <c r="A47" s="17">
        <v>7514</v>
      </c>
      <c r="B47" s="13" t="s">
        <v>1085</v>
      </c>
      <c r="C47" s="10">
        <v>3</v>
      </c>
      <c r="D47" s="14" t="s">
        <v>1081</v>
      </c>
    </row>
    <row r="48" spans="1:4" ht="49.5" x14ac:dyDescent="0.25">
      <c r="A48" s="17">
        <v>7514</v>
      </c>
      <c r="B48" s="13" t="s">
        <v>1085</v>
      </c>
      <c r="C48" s="10">
        <v>4</v>
      </c>
      <c r="D48" s="14" t="s">
        <v>1087</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5222908-3492-4fb1-8c0b-2d69d8b95be4">
      <UserInfo>
        <DisplayName/>
        <AccountId xsi:nil="true"/>
        <AccountType/>
      </UserInfo>
    </SharedWithUsers>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documentManagement>
</p:properties>
</file>

<file path=customXml/itemProps1.xml><?xml version="1.0" encoding="utf-8"?>
<ds:datastoreItem xmlns:ds="http://schemas.openxmlformats.org/officeDocument/2006/customXml" ds:itemID="{E8B07F75-F01E-46A0-B7FF-825D26A46452}">
  <ds:schemaRefs>
    <ds:schemaRef ds:uri="http://schemas.microsoft.com/sharepoint/v3/contenttype/forms"/>
  </ds:schemaRefs>
</ds:datastoreItem>
</file>

<file path=customXml/itemProps2.xml><?xml version="1.0" encoding="utf-8"?>
<ds:datastoreItem xmlns:ds="http://schemas.openxmlformats.org/officeDocument/2006/customXml" ds:itemID="{954343AA-5B73-4444-A27C-CFF0114EF1C2}"/>
</file>

<file path=customXml/itemProps3.xml><?xml version="1.0" encoding="utf-8"?>
<ds:datastoreItem xmlns:ds="http://schemas.openxmlformats.org/officeDocument/2006/customXml" ds:itemID="{8A40D452-90FA-4EF8-A95A-487CF5BF7698}">
  <ds:schemaRefs>
    <ds:schemaRef ds:uri="7c8ef7c6-06d5-4c49-8c18-38eef20bf67f"/>
    <ds:schemaRef ds:uri="http://schemas.microsoft.com/office/infopath/2007/PartnerControls"/>
    <ds:schemaRef ds:uri="http://schemas.microsoft.com/office/2006/metadata/properties"/>
    <ds:schemaRef ds:uri="http://purl.org/dc/dcmitype/"/>
    <ds:schemaRef ds:uri="http://schemas.openxmlformats.org/package/2006/metadata/core-properties"/>
    <ds:schemaRef ds:uri="16a7e026-9395-4c91-849e-f857c81183ce"/>
    <ds:schemaRef ds:uri="http://schemas.microsoft.com/office/2006/documentManagement/typ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Rangos</vt:lpstr>
      <vt:lpstr>I. de Gestión</vt:lpstr>
      <vt:lpstr>Hoja2</vt:lpstr>
      <vt:lpstr>Hoja7</vt:lpstr>
      <vt:lpstr>Eliminados</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Marce</cp:lastModifiedBy>
  <cp:revision/>
  <dcterms:created xsi:type="dcterms:W3CDTF">2020-02-06T14:26:26Z</dcterms:created>
  <dcterms:modified xsi:type="dcterms:W3CDTF">2023-01-21T00:19:16Z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Order">
    <vt:r8>1223400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